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g" ContentType="image/jpe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4.xml" ContentType="application/vnd.openxmlformats-officedocument.spreadsheetml.comment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5.xml" ContentType="application/vnd.openxmlformats-officedocument.spreadsheetml.comments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officeDocument/2006/relationships/extended-properties" Target="docProps/app.xml"/><Relationship 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ентябрь" sheetId="1" state="visible" r:id="rId1"/>
    <sheet name="АВТОМАТИЗАЦИЯ " sheetId="2" state="visible" r:id="rId2"/>
    <sheet name="численность ОП МР 22" sheetId="3" state="hidden" r:id="rId3"/>
    <sheet name="Текучесть ББ 2022-23" sheetId="4" state="hidden" r:id="rId4"/>
    <sheet name="Факт ЗП продажи 22" sheetId="5" state="hidden" r:id="rId5"/>
    <sheet name="Аналитика продаж" sheetId="6" state="hidden" r:id="rId6"/>
    <sheet name="Кол-во продавцов 2022" sheetId="7" state="hidden" r:id="rId7"/>
    <sheet name="кол-во продавцов 2023" sheetId="8" state="hidden" r:id="rId8"/>
    <sheet name="Данные 1.10.2022" sheetId="9" state="hidden" r:id="rId9"/>
    <sheet name="Планфакт 2022" sheetId="10" state="hidden" r:id="rId10"/>
    <sheet name="Планфакт" sheetId="11" state="hidden" r:id="rId11"/>
  </sheets>
  <definedNames>
    <definedName name="сумма">#REF!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2" authorId="0">
      <text>
        <r>
          <rPr>
            <sz val="9"/>
            <rFont val="Tahoma"/>
          </rPr>
          <t xml:space="preserve">======
ID#AAABcr0Fn1Y
    (2025-01-23 11:37:21)
включая РОПа, хантеров, менеджеров по сопровождению и самих продажников</t>
        </r>
      </text>
    </comment>
    <comment ref="M106" authorId="0">
      <text>
        <r>
          <rPr>
            <sz val="9"/>
            <rFont val="Tahoma"/>
          </rPr>
          <t xml:space="preserve">======
ID#AAABcr0Fn1w
    (2025-01-23 11:37:21)
шалаевский</t>
        </r>
      </text>
    </comment>
    <comment ref="M142" authorId="0">
      <text>
        <r>
          <rPr>
            <sz val="9"/>
            <rFont val="Tahoma"/>
          </rPr>
          <t xml:space="preserve">======
ID#AAABcr0Fn2E
    (2025-01-23 11:37:21)
Егоров, не оформляли 1 неделя</t>
        </r>
      </text>
    </comment>
    <comment ref="P16" authorId="0">
      <text>
        <r>
          <rPr>
            <sz val="9"/>
            <rFont val="Tahoma"/>
          </rPr>
          <t xml:space="preserve">======
ID#AAABcr0Fn2s
    (2025-01-23 11:37:21)
звягина,карпова воронеж</t>
        </r>
      </text>
    </comment>
    <comment ref="M151" authorId="0">
      <text>
        <r>
          <rPr>
            <sz val="9"/>
            <rFont val="Tahoma"/>
          </rPr>
          <t xml:space="preserve">======
ID#AAABcr0Fn0Y
    (2025-01-23 11:37:21)
Козлов, 1 день, не оформляли</t>
        </r>
      </text>
    </comment>
    <comment ref="P151" authorId="0">
      <text>
        <r>
          <rPr>
            <sz val="9"/>
            <rFont val="Tahoma"/>
          </rPr>
          <t xml:space="preserve">======
ID#AAABcr0Fnzc
    (2025-01-23 11:37:21)
Ноздрин+рук. ОП УПЧ</t>
        </r>
      </text>
    </comment>
    <comment ref="L159" authorId="0">
      <text>
        <r>
          <rPr>
            <sz val="9"/>
            <rFont val="Tahoma"/>
          </rPr>
          <t xml:space="preserve">======
ID#AAABcr0Fn1Q
    (2025-01-23 11:37:21)
РОП</t>
        </r>
      </text>
    </comment>
    <comment ref="M160" authorId="0">
      <text>
        <r>
          <rPr>
            <sz val="9"/>
            <rFont val="Tahoma"/>
          </rPr>
          <t xml:space="preserve">======
ID#AAABcr0Fn1s
    (2025-01-23 11:37:21)
трушин</t>
        </r>
      </text>
    </comment>
    <comment ref="P160" authorId="0">
      <text>
        <r>
          <rPr>
            <sz val="9"/>
            <rFont val="Tahoma"/>
          </rPr>
          <t xml:space="preserve">======
ID#AAABcr0Fn2w
    (2025-01-23 11:37:21)
карпухина, николенко</t>
        </r>
      </text>
    </comment>
    <comment ref="T284" authorId="0">
      <text>
        <r>
          <rPr>
            <sz val="9"/>
            <rFont val="Tahoma"/>
          </rPr>
          <t xml:space="preserve">======
ID#AAABcr0Fn04
    (2025-01-23 11:37:21)
переезд в связи с СВО
-Екатерина Михеева</t>
        </r>
      </text>
    </comment>
    <comment ref="V284" authorId="0">
      <text>
        <r>
          <rPr>
            <sz val="9"/>
            <rFont val="Tahoma"/>
          </rPr>
          <t xml:space="preserve">======
ID#AAABcr0Fn0E
    (2025-01-23 11:37:21)
1) Состояние здоровья + больше сопровожденец; 2) Не подошел продукт, понял, что не хочет его продавать
-Ольга Клинчева</t>
        </r>
      </text>
    </comment>
    <comment ref="W284" authorId="0">
      <text>
        <r>
          <rPr>
            <sz val="9"/>
            <rFont val="Tahoma"/>
          </rPr>
          <t xml:space="preserve">======
ID#AAABcr0FnzM
    (2025-01-23 11:37:21)
1 далеко живет
1 по состоянию здоровья
-Светлана Ф</t>
        </r>
      </text>
    </comment>
    <comment ref="P34" authorId="0">
      <text>
        <r>
          <rPr>
            <sz val="9"/>
            <rFont val="Tahoma"/>
          </rPr>
          <t xml:space="preserve">======
ID#AAABcr0Fnz4
    (2025-01-23 11:37:21)
азарова, калуга</t>
        </r>
      </text>
    </comment>
    <comment ref="M43" authorId="0">
      <text>
        <r>
          <rPr>
            <sz val="9"/>
            <rFont val="Tahoma"/>
          </rPr>
          <t xml:space="preserve">======
ID#AAABcr0FnzY
    (2025-01-23 11:37:21)
хантер, Прохорская</t>
        </r>
      </text>
    </comment>
    <comment ref="M70" authorId="0">
      <text>
        <r>
          <rPr>
            <sz val="9"/>
            <rFont val="Tahoma"/>
          </rPr>
          <t xml:space="preserve">======
ID#AAABcr0Fn2g
    (2025-01-23 11:37:21)
Роп Двинских
фомченкова
коваленко</t>
        </r>
      </text>
    </comment>
    <comment ref="M79" authorId="0">
      <text>
        <r>
          <rPr>
            <sz val="9"/>
            <rFont val="Tahoma"/>
          </rPr>
          <t xml:space="preserve">======
ID#AAABcr0Fny0
    (2025-01-23 11:37:21)
конарева</t>
        </r>
      </text>
    </comment>
    <comment ref="M88" authorId="0">
      <text>
        <r>
          <rPr>
            <sz val="9"/>
            <rFont val="Tahoma"/>
          </rPr>
          <t xml:space="preserve">======
ID#AAABcr0FnzE
    (2025-01-23 11:37:21)
буларга</t>
        </r>
      </text>
    </comment>
    <comment ref="M97" authorId="0">
      <text>
        <r>
          <rPr>
            <sz val="9"/>
            <rFont val="Tahoma"/>
          </rPr>
          <t xml:space="preserve">======
ID#AAABcr0Fn0k
    (2025-01-23 11:37:21)
дурнов, пантелеева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5" authorId="0">
      <text>
        <r>
          <rPr>
            <sz val="9"/>
            <rFont val="Tahoma"/>
          </rPr>
          <t xml:space="preserve">======
ID#AAABcr0Fn0A
    (2025-01-23 11:37:21)
принял всю теплую базу всех уволенных продажников</t>
        </r>
      </text>
    </comment>
    <comment ref="B6" authorId="0">
      <text>
        <r>
          <rPr>
            <sz val="9"/>
            <rFont val="Tahoma"/>
          </rPr>
          <t xml:space="preserve">======
ID#AAABcr0Fnzo
    (2025-01-23 11:37:21)
перевод из сопровожденцев ББ</t>
        </r>
      </text>
    </comment>
    <comment ref="B81" authorId="0">
      <text>
        <r>
          <rPr>
            <sz val="9"/>
            <rFont val="Tahoma"/>
          </rPr>
          <t xml:space="preserve">======
ID#AAABcr0Fn1E
    (2025-01-23 11:37:21)
перевод из сопровожденцев ББ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11" authorId="0">
      <text>
        <r>
          <rPr>
            <sz val="9"/>
            <rFont val="Tahoma"/>
          </rPr>
          <t xml:space="preserve">======
ID#AAABcr0Fn2I
    (2025-01-23 11:37:21)
повезл: принял на себя всех теплых клиентов уволившихся продажников</t>
        </r>
      </text>
    </comment>
    <comment ref="D30" authorId="0">
      <text>
        <r>
          <rPr>
            <sz val="9"/>
            <rFont val="Tahoma"/>
          </rPr>
          <t xml:space="preserve">======
ID#AAABcr0Fnz0
    (2025-01-23 11:37:21)
перевод из сопровожденцев ББ</t>
        </r>
      </text>
    </comment>
    <comment ref="K46" authorId="0">
      <text>
        <r>
          <rPr>
            <sz val="9"/>
            <rFont val="Tahoma"/>
          </rPr>
          <t xml:space="preserve">======
ID#AAABcr0Fn0c
    (2025-01-23 11:37:21)
нет в рейтинге вообще</t>
        </r>
      </text>
    </comment>
    <comment ref="L61" authorId="0">
      <text>
        <r>
          <rPr>
            <sz val="9"/>
            <rFont val="Tahoma"/>
          </rPr>
          <t xml:space="preserve">======
ID#AAABcr0Fn14
    (2025-01-23 11:37:21)
СПБ, Макаричева</t>
        </r>
      </text>
    </comment>
    <comment ref="P61" authorId="0">
      <text>
        <r>
          <rPr>
            <sz val="9"/>
            <rFont val="Tahoma"/>
          </rPr>
          <t xml:space="preserve">======
ID#AAABcr0FnzI
    (2025-01-23 11:37:21)
у Васильева - перешедшая теплая база, у четырех других -по нулям</t>
        </r>
      </text>
    </comment>
    <comment ref="K62" authorId="0">
      <text>
        <r>
          <rPr>
            <sz val="9"/>
            <rFont val="Tahoma"/>
          </rPr>
          <t xml:space="preserve">======
ID#AAABcr0Fn0I
    (2025-01-23 11:37:21)
1 -по нулям, второй - 24 тыс</t>
        </r>
      </text>
    </comment>
    <comment ref="N62" authorId="0">
      <text>
        <r>
          <rPr>
            <sz val="9"/>
            <rFont val="Tahoma"/>
          </rPr>
          <t xml:space="preserve">======
ID#AAABcr0Fnzk
    (2025-01-23 11:37:21)
СПБ</t>
        </r>
      </text>
    </comment>
    <comment ref="R62" authorId="0">
      <text>
        <r>
          <rPr>
            <sz val="9"/>
            <rFont val="Tahoma"/>
          </rPr>
          <t xml:space="preserve">======
ID#AAABcr0Fny4
    (2025-01-23 11:37:21)
Васильев теплая база более 500 тыс АВ</t>
        </r>
      </text>
    </comment>
    <comment ref="N63" authorId="0">
      <text>
        <r>
          <rPr>
            <sz val="9"/>
            <rFont val="Tahoma"/>
          </rPr>
          <t xml:space="preserve">======
ID#AAABcr0Fn2U
    (2025-01-23 11:37:21)
в т.ч.Пастухова, ее АВ не включаю в среднюю</t>
        </r>
      </text>
    </comment>
    <comment ref="P63" authorId="0">
      <text>
        <r>
          <rPr>
            <sz val="9"/>
            <rFont val="Tahoma"/>
          </rPr>
          <t xml:space="preserve">======
ID#AAABcr0Fn3A
    (2025-01-23 11:37:21)
СПБ</t>
        </r>
      </text>
    </comment>
    <comment ref="T63" authorId="0">
      <text>
        <r>
          <rPr>
            <sz val="9"/>
            <rFont val="Tahoma"/>
          </rPr>
          <t xml:space="preserve">======
ID#AAABcr0Fn10
    (2025-01-23 11:37:21)
Васильев теплая база</t>
        </r>
      </text>
    </comment>
    <comment ref="P64" authorId="0">
      <text>
        <r>
          <rPr>
            <sz val="9"/>
            <rFont val="Tahoma"/>
          </rPr>
          <t xml:space="preserve">======
ID#AAABcr0Fn2o
    (2025-01-23 11:37:21)
Пастухова ее АВ не считаю в среднюю</t>
        </r>
      </text>
    </comment>
    <comment ref="H64" authorId="0">
      <text>
        <r>
          <rPr>
            <sz val="9"/>
            <rFont val="Tahoma"/>
          </rPr>
          <t xml:space="preserve">======
ID#AAABcr0Fn1g
    (2025-01-23 11:37:21)
менеджеры СПБ</t>
        </r>
      </text>
    </comment>
    <comment ref="J65" authorId="0">
      <text>
        <r>
          <rPr>
            <sz val="9"/>
            <rFont val="Tahoma"/>
          </rPr>
          <t xml:space="preserve">======
ID#AAABcr0Fn20
    (2025-01-23 11:37:21)
СПБ</t>
        </r>
      </text>
    </comment>
    <comment ref="L66" authorId="0">
      <text>
        <r>
          <rPr>
            <sz val="9"/>
            <rFont val="Tahoma"/>
          </rPr>
          <t xml:space="preserve">======
ID#AAABcr0Fn1k
    (2025-01-23 11:37:21)
СПБ</t>
        </r>
      </text>
    </comment>
    <comment ref="V66" authorId="0">
      <text>
        <r>
          <rPr>
            <sz val="9"/>
            <rFont val="Tahoma"/>
          </rPr>
          <t xml:space="preserve">======
ID#AAABcr0Fn1A
    (2025-01-23 11:37:21)
СПБ Макаричева</t>
        </r>
      </text>
    </comment>
    <comment ref="L74" authorId="0">
      <text>
        <r>
          <rPr>
            <sz val="9"/>
            <rFont val="Tahoma"/>
          </rPr>
          <t xml:space="preserve">======
ID#AAABcr0Fn0s
    (2025-01-23 11:37:21)
СПБ</t>
        </r>
      </text>
    </comment>
    <comment ref="P74" authorId="0">
      <text>
        <r>
          <rPr>
            <sz val="9"/>
            <rFont val="Tahoma"/>
          </rPr>
          <t xml:space="preserve">======
ID#AAABcr0Fn1M
    (2025-01-23 11:37:21)
СПБ</t>
        </r>
      </text>
    </comment>
    <comment ref="Z74" authorId="0">
      <text>
        <r>
          <rPr>
            <sz val="9"/>
            <rFont val="Tahoma"/>
          </rPr>
          <t xml:space="preserve">======
ID#AAABcr0Fn0Q
    (2025-01-23 11:37:21)
СПБ</t>
        </r>
      </text>
    </comment>
    <comment ref="AD74" authorId="0">
      <text>
        <r>
          <rPr>
            <sz val="9"/>
            <rFont val="Tahoma"/>
          </rPr>
          <t xml:space="preserve">======
ID#AAABcr0Fn0o
    (2025-01-23 11:37:21)
СПБ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5" authorId="0">
      <text>
        <r>
          <rPr>
            <sz val="9"/>
            <rFont val="Tahoma"/>
          </rPr>
          <t xml:space="preserve">======
ID#AAABcr0Fn0U
    (2025-01-23 11:37:21)
Еремин Кирилл
-Светлана Ф</t>
        </r>
      </text>
    </comment>
    <comment ref="L7" authorId="0">
      <text>
        <r>
          <rPr>
            <sz val="9"/>
            <rFont val="Tahoma"/>
          </rPr>
          <t xml:space="preserve">======
ID#AAABcr0Fn28
    (2025-01-23 11:37:21)
двинких, конарева, буларга, дурнов, фомченкова, карпова, козлова, азарова, рукавкова, звягина</t>
        </r>
      </text>
    </comment>
    <comment ref="G7" authorId="0">
      <text>
        <r>
          <rPr>
            <sz val="9"/>
            <rFont val="Tahoma"/>
          </rPr>
          <t xml:space="preserve">======
ID#AAABcr0Fn18
    (2025-01-23 11:37:21)
поиск открываем с февраля</t>
        </r>
      </text>
    </comment>
    <comment ref="D9" authorId="0">
      <text>
        <r>
          <rPr>
            <sz val="9"/>
            <rFont val="Tahoma"/>
          </rPr>
          <t xml:space="preserve">======
ID#AAABcr0Fn08
    (2025-01-23 11:37:21)
январь Азаронок, февраль Коробцев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4" authorId="0">
      <text>
        <r>
          <rPr>
            <sz val="9"/>
            <rFont val="Tahoma"/>
          </rPr>
          <t xml:space="preserve">======
ID#AAABcr0FnzA
Ростов    (2025-01-23 11:37:21)
1. Ефимова Светлана 28.09
Таганрог:
1. Таран Анна 01.09</t>
        </r>
      </text>
    </comment>
    <comment ref="P4" authorId="0">
      <text>
        <r>
          <rPr>
            <sz val="9"/>
            <rFont val="Tahoma"/>
          </rPr>
          <t xml:space="preserve">======
ID#AAABcr0Fn2A
    (2025-01-23 11:37:21)
1 уволенный</t>
        </r>
      </text>
    </comment>
    <comment ref="D4" authorId="0">
      <text>
        <r>
          <rPr>
            <sz val="9"/>
            <rFont val="Tahoma"/>
          </rPr>
          <t xml:space="preserve">======
ID#AAABcr0FnzQ
Ростов    (2025-01-23 11:37:21)
1. Гладкова Анна 
2. Ефимова Светлана
Краснодар:
1. Чуракова Наталья</t>
        </r>
      </text>
    </comment>
    <comment ref="N5" authorId="0">
      <text>
        <r>
          <rPr>
            <sz val="9"/>
            <rFont val="Tahoma"/>
          </rPr>
          <t xml:space="preserve">======
ID#AAABcr0Fn2Q
    (2025-01-23 11:37:21)
Сергеев, Тихонова, Каюмов, Карпов
-Светлана Ф</t>
        </r>
      </text>
    </comment>
    <comment ref="U5" authorId="0">
      <text>
        <r>
          <rPr>
            <sz val="9"/>
            <rFont val="Tahoma"/>
          </rPr>
          <t xml:space="preserve">======
ID#AAABcr0Fn2Y
    (2025-01-23 11:37:21)
Решетникова с 01.11.2021
-Светлана Ф</t>
        </r>
      </text>
    </comment>
    <comment ref="AA5" authorId="0">
      <text>
        <r>
          <rPr>
            <sz val="9"/>
            <rFont val="Tahoma"/>
          </rPr>
          <t xml:space="preserve">======
ID#AAABcr0Fn1c
    (2025-01-23 11:37:21)
Решетникова Анастасия 01.11.2021
-Светлана Ф</t>
        </r>
      </text>
    </comment>
    <comment ref="D5" authorId="0">
      <text>
        <r>
          <rPr>
            <sz val="9"/>
            <rFont val="Tahoma"/>
          </rPr>
          <t xml:space="preserve">======
ID#AAABcr0Fnzg
    (2025-01-23 11:37:21)
Шерстнев
-Anonymous
Август
-Anonymous
Сентябрь Белялова Тольятти (декретница из подписки)
-Светлана Ф
Тихонова 28.11.2021 по семейным обстоятельствам
Решетникова 27.11.2021 проработала 2 недели, не влилась
-Светлана Ф</t>
        </r>
      </text>
    </comment>
    <comment ref="N6" authorId="0">
      <text>
        <r>
          <rPr>
            <sz val="9"/>
            <rFont val="Tahoma"/>
          </rPr>
          <t xml:space="preserve">======
ID#AAABcr0Fnzw
    (2025-01-23 11:37:21)
Ярко А.А.  (менеджер региональных продаж), СПб, выход 13.09.</t>
        </r>
      </text>
    </comment>
    <comment ref="H6" authorId="0">
      <text>
        <r>
          <rPr>
            <sz val="9"/>
            <rFont val="Tahoma"/>
          </rPr>
          <t xml:space="preserve">======
ID#AAABcr0Fnzs
    (2025-01-23 11:37:21)
Шморгун Е. (Бушмакина)</t>
        </r>
      </text>
    </comment>
    <comment ref="N7" authorId="0">
      <text>
        <r>
          <rPr>
            <sz val="9"/>
            <rFont val="Tahoma"/>
          </rPr>
          <t xml:space="preserve">======
ID#AAABcr0Fny8
    (2025-01-23 11:37:21)
1)Журбенко Анастасия, Липецк, выход 02.09
2) Буларга Наталья - выход 06.09</t>
        </r>
      </text>
    </comment>
    <comment ref="O7" authorId="0">
      <text>
        <r>
          <rPr>
            <sz val="9"/>
            <rFont val="Tahoma"/>
          </rPr>
          <t xml:space="preserve">======
ID#AAABcr0FnzU
    (2025-01-23 11:37:21)
введите текст
1)курган (Калуга) - выход на 01.09 отказ от выхода, 
2)рукавкова (орел) - выход 06.09 -перенесен из-за болезни+отсутствие замены .  Выход 01.10</t>
        </r>
      </text>
    </comment>
    <comment ref="T7" authorId="0">
      <text>
        <r>
          <rPr>
            <sz val="9"/>
            <rFont val="Tahoma"/>
          </rPr>
          <t xml:space="preserve">======
ID#AAABcr0Fn2c
    (2025-01-23 11:37:21)
Звягина  Юлия, Воронеж 25.10
Рукавкова , Орел, 01.10
В ОКТЯБРЕ СТОП-НАБОР В СВЯЗИ С ОТПУСКОМ РУКОВОДИТЕЛЯ</t>
        </r>
      </text>
    </comment>
    <comment ref="D7" authorId="0">
      <text>
        <r>
          <rPr>
            <sz val="9"/>
            <rFont val="Tahoma"/>
          </rPr>
          <t xml:space="preserve">======
ID#AAABcr0Fn2k
    (2025-01-23 11:37:21)
новенькие 
в июле, 
1  - 1 день работы
1 -неделя работы</t>
        </r>
      </text>
    </comment>
    <comment ref="F7" authorId="0">
      <text>
        <r>
          <rPr>
            <sz val="9"/>
            <rFont val="Tahoma"/>
          </rPr>
          <t xml:space="preserve">======
ID#AAABcr0Fn0g
    (2025-01-23 11:37:21)
конарева, дурнов, карпова, козлова, фомченкова+ РОП</t>
        </r>
      </text>
    </comment>
    <comment ref="H7" authorId="0">
      <text>
        <r>
          <rPr>
            <sz val="9"/>
            <rFont val="Tahoma"/>
          </rPr>
          <t xml:space="preserve">======
ID#AAABcr0Fnyw
    (2025-01-23 11:37:21)
азарова, хантер</t>
        </r>
      </text>
    </comment>
    <comment ref="U8" authorId="0">
      <text>
        <r>
          <rPr>
            <sz val="9"/>
            <rFont val="Tahoma"/>
          </rPr>
          <t xml:space="preserve">======
ID#AAABcr0Fn1o
    (2025-01-23 11:37:21)
Ельшина Полина (Белгород)
-Ольга Клинчева</t>
        </r>
      </text>
    </comment>
    <comment ref="AA8" authorId="0">
      <text>
        <r>
          <rPr>
            <sz val="9"/>
            <rFont val="Tahoma"/>
          </rPr>
          <t xml:space="preserve">======
ID#AAABcr0Fn3E
    (2025-01-23 11:37:21)
Фоминов Алексей_3.11. (Екб) Ельшина Полина_10.11. (Белгород), Завьялова Светлана_12.11 (Че)
Тимофеев Евгений_17.11 (Екб)
-Ольга Клинчева</t>
        </r>
      </text>
    </comment>
    <comment ref="AC8" authorId="0">
      <text>
        <r>
          <rPr>
            <sz val="9"/>
            <rFont val="Tahoma"/>
          </rPr>
          <t xml:space="preserve">======
ID#AAABcr0Fn1I
    (2025-01-23 11:37:21)
2 менеджеров активников переводим в Хантеры (Казакову в ноябре, Втюрину в декабре)
-Ольга Клинчева</t>
        </r>
      </text>
    </comment>
    <comment ref="D8" authorId="0">
      <text>
        <r>
          <rPr>
            <sz val="9"/>
            <rFont val="Tahoma"/>
          </rPr>
          <t xml:space="preserve">======
ID#AAABcr0Fn0w
    (2025-01-23 11:37:21)
30.09. - увольнение Захаровой Евгении по собственному желанию (МкР)
06.10. - увольнение Хабибуллиной Зарины по нашей инициативе (низкая производительность) - Евраз
19.10 - Янчук Евгений - по собственному желанию (низкий доход)
-Ольга Клинчева</t>
        </r>
      </text>
    </comment>
    <comment ref="AE8" authorId="0">
      <text>
        <r>
          <rPr>
            <sz val="9"/>
            <rFont val="Tahoma"/>
          </rPr>
          <t xml:space="preserve">======
ID#AAABcr0Fn0M
    (2025-01-23 11:37:21)
1. Пименова 
2.Свердлова
3. Зотин
4. Литвиненко 
5. Маконго
6. Коробцев
7. Чебан 0,5
8 Азаронок 
9. Ковалева
-Nellya Gricenko</t>
        </r>
      </text>
    </comment>
    <comment ref="N9" authorId="0">
      <text>
        <r>
          <rPr>
            <sz val="9"/>
            <rFont val="Tahoma"/>
          </rPr>
          <t xml:space="preserve">======
ID#AAABcr0Fn2M
    (2025-01-23 11:37:21)
Бахарева, выход 20.09, кемеровов</t>
        </r>
      </text>
    </comment>
    <comment ref="T9" authorId="0">
      <text>
        <r>
          <rPr>
            <sz val="9"/>
            <rFont val="Tahoma"/>
          </rPr>
          <t xml:space="preserve">======
ID#AAABcr0Fnz8
    (2025-01-23 11:37:21)
13.10 Зотин НСК, Чебан НСК</t>
        </r>
      </text>
    </comment>
    <comment ref="AC9" authorId="0">
      <text>
        <r>
          <rPr>
            <sz val="9"/>
            <rFont val="Tahoma"/>
          </rPr>
          <t xml:space="preserve">======
ID#AAABcr0Fnys
    (2025-01-23 11:37:21)
Пименова,Литвиненко, Зотин, Свердлова, Чабан, Азоронок Макконго, Коробцев =РОП</t>
        </r>
      </text>
    </comment>
    <comment ref="D9" authorId="0">
      <text>
        <r>
          <rPr>
            <sz val="9"/>
            <rFont val="Tahoma"/>
          </rPr>
          <t xml:space="preserve">======
ID#AAABcr0Fn1U
    (2025-01-23 11:37:21)
введите текст
Тюмень, увольнение 15.09, Бегалин, Канакова октябрь  (Омск), 17.11 Жаркова МР, Азаронок 26.01.22</t>
        </r>
      </text>
    </comment>
    <comment ref="F9" authorId="0">
      <text>
        <r>
          <rPr>
            <sz val="9"/>
            <rFont val="Tahoma"/>
          </rPr>
          <t xml:space="preserve">======
ID#AAABcr0Fn3M
    (2025-01-23 11:37:21)
Пименева, Литвиненко, Свердлова, Азоронок, Жаркова, Бегалин+РОП</t>
        </r>
      </text>
    </comment>
    <comment ref="H9" authorId="0">
      <text>
        <r>
          <rPr>
            <sz val="9"/>
            <rFont val="Tahoma"/>
          </rPr>
          <t xml:space="preserve">======
ID#AAABcr0Fn24
    (2025-01-23 11:37:21)
Макконго, Канакова, Коробцев</t>
        </r>
      </text>
    </comment>
    <comment ref="P10" authorId="0">
      <text>
        <r>
          <rPr>
            <sz val="9"/>
            <rFont val="Tahoma"/>
          </rPr>
          <t xml:space="preserve">======
ID#AAABcr0Fn3I
    (2025-01-23 11:37:21)
1 увольнение в сентябре</t>
        </r>
      </text>
    </comment>
    <comment ref="D10" authorId="0">
      <text>
        <r>
          <rPr>
            <sz val="9"/>
            <rFont val="Tahoma"/>
          </rPr>
          <t xml:space="preserve">======
ID#AAABcr0Fn00
    (2025-01-23 11:37:21)
введите текст
сентябрь - 1 продажник красноярск, плаксин
август, РОП</t>
        </r>
      </text>
    </comment>
  </commentList>
</comments>
</file>

<file path=xl/sharedStrings.xml><?xml version="1.0" encoding="utf-8"?>
<sst xmlns="http://schemas.openxmlformats.org/spreadsheetml/2006/main" count="663" uniqueCount="663">
  <si>
    <t xml:space="preserve">ПЛАН НАБОРА ПРОДАВЦОВ В РС</t>
  </si>
  <si>
    <t xml:space="preserve">
</t>
  </si>
  <si>
    <t>Макрорегион</t>
  </si>
  <si>
    <t xml:space="preserve">Количество продающих сотрудников</t>
  </si>
  <si>
    <t xml:space="preserve">Текущее кол-во сотрудников в продажах, с учетом руководителя про продажам в МР и УП на 01.09.2021</t>
  </si>
  <si>
    <t xml:space="preserve">Количество сотрудников, выход которых запланирован на сентябрь 2021</t>
  </si>
  <si>
    <t xml:space="preserve">Фактически планируемое кол-во сотрудников на сентябрь 2021 г. в МР и УП</t>
  </si>
  <si>
    <t xml:space="preserve">План по набору дополнительных сотрудников в УП и МР</t>
  </si>
  <si>
    <t xml:space="preserve">Общее кол-во продавцов в подразделениях/МР по итогам массового набора</t>
  </si>
  <si>
    <t xml:space="preserve">План набора сотрудников</t>
  </si>
  <si>
    <r>
      <rPr>
        <sz val="8"/>
        <color theme="1"/>
        <rFont val="Arial"/>
      </rPr>
      <t xml:space="preserve">Количество сотрудников, выход которых запланирован на </t>
    </r>
    <r>
      <rPr>
        <sz val="8"/>
        <color indexed="2"/>
        <rFont val="Arial"/>
      </rPr>
      <t>ОКТЯБРЬ</t>
    </r>
    <r>
      <rPr>
        <sz val="8"/>
        <color theme="1"/>
        <rFont val="Arial"/>
      </rPr>
      <t xml:space="preserve"> 2022</t>
    </r>
  </si>
  <si>
    <t>ЮГ</t>
  </si>
  <si>
    <t xml:space="preserve">4 до 01.09
5 до 01.10
</t>
  </si>
  <si>
    <t>ПРИВОЛЖЬЕ</t>
  </si>
  <si>
    <t xml:space="preserve">4 до 01.09
4 до 01.10
</t>
  </si>
  <si>
    <t>СЕВЕРО-ЗАПАД</t>
  </si>
  <si>
    <t>ЦЕНТР</t>
  </si>
  <si>
    <t>УРАЛ</t>
  </si>
  <si>
    <t xml:space="preserve">2 до 01.09
1 до 01.10
</t>
  </si>
  <si>
    <t>СИБИРЬ</t>
  </si>
  <si>
    <t>ВОСТОК</t>
  </si>
  <si>
    <t xml:space="preserve">1 до 01.09
</t>
  </si>
  <si>
    <t>ИТОГО</t>
  </si>
  <si>
    <r>
      <rPr>
        <sz val="10"/>
        <color indexed="64"/>
        <rFont val="Arial"/>
      </rPr>
      <t xml:space="preserve">Автор шаблона:
</t>
    </r>
    <r>
      <rPr>
        <b/>
        <i/>
        <sz val="16"/>
        <color indexed="64"/>
        <rFont val="Arial (Основной текст)"/>
      </rPr>
      <t xml:space="preserve">Екатерина Воронина, 
</t>
    </r>
    <r>
      <rPr>
        <sz val="10"/>
        <color indexed="64"/>
        <rFont val="Arial"/>
      </rPr>
      <t xml:space="preserve">
основатель  HR- агентства HRV, действующий HR - партнер 2-х производтсвенных компаний, MarHR.</t>
    </r>
  </si>
  <si>
    <t>https://t.me/voroninahr</t>
  </si>
  <si>
    <t xml:space="preserve">Будьте аккуратны с формулами!</t>
  </si>
  <si>
    <t>потребность</t>
  </si>
  <si>
    <t>Должность</t>
  </si>
  <si>
    <t xml:space="preserve"> </t>
  </si>
  <si>
    <t>Функция</t>
  </si>
  <si>
    <t xml:space="preserve">Затраты по времени (мин) на 1 лид</t>
  </si>
  <si>
    <t xml:space="preserve">кол-во лидов по воронке </t>
  </si>
  <si>
    <t xml:space="preserve">ВременнЫе затраты  "вручную" </t>
  </si>
  <si>
    <t xml:space="preserve">ВременнЫе затраты с ботом/ частичной автоматиацией</t>
  </si>
  <si>
    <t xml:space="preserve">Завести вакансию в ATS</t>
  </si>
  <si>
    <t xml:space="preserve">Уточнить подробности по заявке у руководителя</t>
  </si>
  <si>
    <t xml:space="preserve">Разместить вакансию на джоб сайтах</t>
  </si>
  <si>
    <t xml:space="preserve">Отсмотреть отклик </t>
  </si>
  <si>
    <t xml:space="preserve">Поднятие / обновление вакансии: сколько раз поднимают</t>
  </si>
  <si>
    <t>Рисечинг</t>
  </si>
  <si>
    <t xml:space="preserve">Завести карточку лида в ATS</t>
  </si>
  <si>
    <t>Звонок</t>
  </si>
  <si>
    <t xml:space="preserve">Сообщение отправить первичное</t>
  </si>
  <si>
    <t xml:space="preserve">Сообщение с временем собеседования и ссылкой</t>
  </si>
  <si>
    <t xml:space="preserve">Сообщение -подтверждение </t>
  </si>
  <si>
    <t>Беседа</t>
  </si>
  <si>
    <t xml:space="preserve">Сообщение с временем собес с рук-лем </t>
  </si>
  <si>
    <t xml:space="preserve">Сообщение - подтверждение </t>
  </si>
  <si>
    <t xml:space="preserve">Собеседвоание с руководиелем контроль </t>
  </si>
  <si>
    <t xml:space="preserve">Запрос документов и контроль  (сообщение с анкетой) </t>
  </si>
  <si>
    <t xml:space="preserve">Скан анкеты СБ, согласование</t>
  </si>
  <si>
    <t xml:space="preserve">Контроль выхода</t>
  </si>
  <si>
    <t xml:space="preserve">Кадровый специалист создают в 1с ЗУП</t>
  </si>
  <si>
    <t xml:space="preserve">Формирование и подписание оффера </t>
  </si>
  <si>
    <t xml:space="preserve">Создание и отправка пакета нокументов, сбор подписи</t>
  </si>
  <si>
    <t xml:space="preserve">В минутах</t>
  </si>
  <si>
    <t xml:space="preserve">В Часах</t>
  </si>
  <si>
    <t xml:space="preserve">В рабочих днях</t>
  </si>
  <si>
    <t xml:space="preserve">В деньгах ФОТ</t>
  </si>
  <si>
    <t xml:space="preserve">ЗП сотрудника </t>
  </si>
  <si>
    <t xml:space="preserve">Стоимость часа сотрудника</t>
  </si>
  <si>
    <t xml:space="preserve">Экономия в ФОТ</t>
  </si>
  <si>
    <t xml:space="preserve">Автоматизацию можно отдать в часах</t>
  </si>
  <si>
    <t xml:space="preserve">Кол-во рабочих 8-часовых дней</t>
  </si>
  <si>
    <t xml:space="preserve">Если нанимать дополнительно сотрудников </t>
  </si>
  <si>
    <t>человек</t>
  </si>
  <si>
    <t xml:space="preserve">Стоимость внедрения </t>
  </si>
  <si>
    <t xml:space="preserve">ROI внедрения </t>
  </si>
  <si>
    <t xml:space="preserve">то, что необходимо делать, но не делают из-за нехватки времени, можно автоматизировать</t>
  </si>
  <si>
    <t xml:space="preserve">то, что может делать только рекрутер</t>
  </si>
  <si>
    <t xml:space="preserve">то, что можно автоматизировать полностью или в части </t>
  </si>
  <si>
    <t xml:space="preserve">Кадровый документооборот , который можно частично автоматизировать </t>
  </si>
  <si>
    <t>КЭДО</t>
  </si>
  <si>
    <t xml:space="preserve">Временные затраты вручную </t>
  </si>
  <si>
    <t xml:space="preserve">Временные затраты с КЭДО</t>
  </si>
  <si>
    <t xml:space="preserve">в мин</t>
  </si>
  <si>
    <t xml:space="preserve">в час</t>
  </si>
  <si>
    <t xml:space="preserve">в днях</t>
  </si>
  <si>
    <t xml:space="preserve">в деньгах </t>
  </si>
  <si>
    <t xml:space="preserve">Сэкономилено в ФОТ</t>
  </si>
  <si>
    <t xml:space="preserve">Количество менеджеров продаж 2022 год</t>
  </si>
  <si>
    <t>МКР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</si>
  <si>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</si>
  <si>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</si>
  <si>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</si>
  <si>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</si>
  <si>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</si>
  <si>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</si>
  <si>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</si>
  <si>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</si>
  <si>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</si>
  <si>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</si>
  <si>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</si>
  <si>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</si>
  <si>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Восток</t>
  </si>
  <si>
    <t>Приволжье</t>
  </si>
  <si>
    <t>Северо-Запад</t>
  </si>
  <si>
    <t>Сибирь</t>
  </si>
  <si>
    <t>Урал</t>
  </si>
  <si>
    <t>Центр</t>
  </si>
  <si>
    <t>Юг</t>
  </si>
  <si>
    <t>Итого</t>
  </si>
  <si>
    <t xml:space="preserve">Количество менеджеров продаж 2023 год</t>
  </si>
  <si>
    <t>УП</t>
  </si>
  <si>
    <t>Подразделение</t>
  </si>
  <si>
    <t xml:space="preserve">УП Д ВОСТОК </t>
  </si>
  <si>
    <t xml:space="preserve">Отдел продаж МР Восток</t>
  </si>
  <si>
    <t xml:space="preserve">УП КРАСНОЯРСК </t>
  </si>
  <si>
    <t xml:space="preserve">УП КУЗБАСС </t>
  </si>
  <si>
    <t xml:space="preserve">Отдел продаж МР Сибирь</t>
  </si>
  <si>
    <t xml:space="preserve">УП ТЮМЕНЬ </t>
  </si>
  <si>
    <t xml:space="preserve">УП КАЗАНЬ </t>
  </si>
  <si>
    <t xml:space="preserve">УП Н.НОВГОРОД </t>
  </si>
  <si>
    <t xml:space="preserve">УП ПОВОЛЖЬЕ </t>
  </si>
  <si>
    <t xml:space="preserve">УП САРАТОВ </t>
  </si>
  <si>
    <t>Москва</t>
  </si>
  <si>
    <t xml:space="preserve">УП Москва</t>
  </si>
  <si>
    <t xml:space="preserve">Отдел продаж МР Москва</t>
  </si>
  <si>
    <t xml:space="preserve">УП Санкт-Петербург</t>
  </si>
  <si>
    <t xml:space="preserve">Отдел продаж МР С-З</t>
  </si>
  <si>
    <t xml:space="preserve">УП ГОРОД </t>
  </si>
  <si>
    <t xml:space="preserve">Отдел продаж МР Урал</t>
  </si>
  <si>
    <t xml:space="preserve">УП ЕВРАЗ </t>
  </si>
  <si>
    <t xml:space="preserve">УП ПЕРМЬ </t>
  </si>
  <si>
    <t xml:space="preserve">УП ЧЕЛЯБИНСК </t>
  </si>
  <si>
    <t xml:space="preserve">УП ЗАПАД </t>
  </si>
  <si>
    <t xml:space="preserve">Отдел продаж МР Центр</t>
  </si>
  <si>
    <t xml:space="preserve">УП Запад</t>
  </si>
  <si>
    <t xml:space="preserve">УП СЕВЕР </t>
  </si>
  <si>
    <t xml:space="preserve">УП ЦЕНТР </t>
  </si>
  <si>
    <t xml:space="preserve">УП ЧЕРНОЗЕМЬЕ </t>
  </si>
  <si>
    <t xml:space="preserve">УП ВОЛГОГРАД </t>
  </si>
  <si>
    <t xml:space="preserve">УП КАВКАЗ </t>
  </si>
  <si>
    <t xml:space="preserve">УП ЮГ </t>
  </si>
  <si>
    <t xml:space="preserve">Отдел продаж МР Юг</t>
  </si>
  <si>
    <t xml:space="preserve">УП Юг</t>
  </si>
  <si>
    <t>период</t>
  </si>
  <si>
    <t>макрорегион</t>
  </si>
  <si>
    <r>
      <rPr>
        <b/>
        <sz val="10"/>
        <color theme="1"/>
        <rFont val="Arial"/>
      </rPr>
      <t xml:space="preserve">ВНИМАНИЕ: по месяцам вносим ССЧ и кол-во уволенных -ОБЩИЕ, ТЕРМИНАЛ И ПРОДАВЦЫ;
ОФИС -ничего не вносим- считается атоматически (общие минус терминал)
по полугодиям и годам, там где </t>
    </r>
    <r>
      <rPr>
        <b/>
        <sz val="10"/>
        <color indexed="4"/>
        <rFont val="Arial"/>
      </rPr>
      <t>синий</t>
    </r>
    <r>
      <rPr>
        <b/>
        <sz val="10"/>
        <color theme="1"/>
        <rFont val="Arial"/>
      </rPr>
      <t xml:space="preserve"> и </t>
    </r>
    <r>
      <rPr>
        <b/>
        <sz val="10"/>
        <color indexed="2"/>
        <rFont val="Arial"/>
      </rPr>
      <t>красный</t>
    </r>
    <r>
      <rPr>
        <b/>
        <sz val="10"/>
        <color theme="1"/>
        <rFont val="Arial"/>
      </rPr>
      <t xml:space="preserve"> шрифт-ничего не вносим!
в </t>
    </r>
    <r>
      <rPr>
        <b/>
        <sz val="10"/>
        <color indexed="4"/>
        <rFont val="Arial"/>
      </rPr>
      <t>полугодиях</t>
    </r>
    <r>
      <rPr>
        <b/>
        <sz val="10"/>
        <color theme="1"/>
        <rFont val="Arial"/>
      </rPr>
      <t xml:space="preserve"> и </t>
    </r>
    <r>
      <rPr>
        <b/>
        <sz val="10"/>
        <color indexed="2"/>
        <rFont val="Arial"/>
      </rPr>
      <t xml:space="preserve">годах </t>
    </r>
    <r>
      <rPr>
        <b/>
        <sz val="10"/>
        <color theme="1"/>
        <rFont val="Arial"/>
      </rPr>
      <t xml:space="preserve">ССЧ считается по формуле "среднее значение по месяцам", а уволенные -ссумируются за период
</t>
    </r>
  </si>
  <si>
    <t xml:space="preserve">ОБЩИЕ  данные по МК</t>
  </si>
  <si>
    <t xml:space="preserve">в т.ч. ТЕРМИНАЛ</t>
  </si>
  <si>
    <t xml:space="preserve">в т.ч. ОФИС</t>
  </si>
  <si>
    <t xml:space="preserve">в т.ч. ОТДЕЛ ПРОДАЖ МАКРОРЕГИОНА</t>
  </si>
  <si>
    <t xml:space="preserve">в т.ч. ПРОДАВЦЫ УП</t>
  </si>
  <si>
    <t xml:space="preserve">ССЧ, ставки</t>
  </si>
  <si>
    <t xml:space="preserve">кол-во уволенных</t>
  </si>
  <si>
    <t xml:space="preserve">% текучести</t>
  </si>
  <si>
    <t>январь-22</t>
  </si>
  <si>
    <t xml:space="preserve">всего по РС</t>
  </si>
  <si>
    <t xml:space="preserve">МК Северо-Запад</t>
  </si>
  <si>
    <t xml:space="preserve">МК Москва</t>
  </si>
  <si>
    <t xml:space="preserve">МК Центр</t>
  </si>
  <si>
    <t xml:space="preserve">МК Приволжье</t>
  </si>
  <si>
    <t xml:space="preserve">МК Юг</t>
  </si>
  <si>
    <t xml:space="preserve">МК Урал</t>
  </si>
  <si>
    <t xml:space="preserve">МК Восток</t>
  </si>
  <si>
    <t xml:space="preserve">МК Сибирь</t>
  </si>
  <si>
    <t>февраль-22</t>
  </si>
  <si>
    <t>март-22</t>
  </si>
  <si>
    <t>апрель-22</t>
  </si>
  <si>
    <t xml:space="preserve">май -22</t>
  </si>
  <si>
    <t>июнь-22</t>
  </si>
  <si>
    <t xml:space="preserve">1 полугодие -22</t>
  </si>
  <si>
    <t>июль-22</t>
  </si>
  <si>
    <t>август-22</t>
  </si>
  <si>
    <t>сентябрь-22</t>
  </si>
  <si>
    <t>октябрь-22</t>
  </si>
  <si>
    <t>ноябрь-22</t>
  </si>
  <si>
    <t>декабрь-22</t>
  </si>
  <si>
    <t xml:space="preserve">2 полугодие -22</t>
  </si>
  <si>
    <t xml:space="preserve">ИТОГО 2022 г</t>
  </si>
  <si>
    <t xml:space="preserve"> МК+УП: средняя численность всего за год 44, уволилось за год 45</t>
  </si>
  <si>
    <t>январь-23</t>
  </si>
  <si>
    <t>февраль-23</t>
  </si>
  <si>
    <t>март-23</t>
  </si>
  <si>
    <t>апрель-23</t>
  </si>
  <si>
    <t xml:space="preserve">май -23</t>
  </si>
  <si>
    <t>июнь-23</t>
  </si>
  <si>
    <t xml:space="preserve">1 полугодие -23</t>
  </si>
  <si>
    <t>июль-23</t>
  </si>
  <si>
    <t>август-23</t>
  </si>
  <si>
    <t>сентябрь-23</t>
  </si>
  <si>
    <t>октябрь-23</t>
  </si>
  <si>
    <t>ноябрь-23</t>
  </si>
  <si>
    <t>декабрь-23</t>
  </si>
  <si>
    <t xml:space="preserve">МР СЗ</t>
  </si>
  <si>
    <t xml:space="preserve">МК ЦЕНТР</t>
  </si>
  <si>
    <t xml:space="preserve">МК УРАЛ</t>
  </si>
  <si>
    <t xml:space="preserve">МК ВОСТОК</t>
  </si>
  <si>
    <t xml:space="preserve">МК СИБИРЬ</t>
  </si>
  <si>
    <t xml:space="preserve">2 полугодие -23</t>
  </si>
  <si>
    <t xml:space="preserve">ИТОГО 2023г</t>
  </si>
  <si>
    <t xml:space="preserve">итого 2022 без Москвы</t>
  </si>
  <si>
    <t xml:space="preserve">Анализ причин увольнений продавцов</t>
  </si>
  <si>
    <t xml:space="preserve">Причины увольнений</t>
  </si>
  <si>
    <t xml:space="preserve">МК СЗ</t>
  </si>
  <si>
    <t xml:space="preserve">по инициативе сотрудника: не выходит на желаемую зп</t>
  </si>
  <si>
    <t xml:space="preserve">по инициативе сотрудника: форс-мажорные семейные обстоятельсва</t>
  </si>
  <si>
    <t xml:space="preserve">по инициативе компании: ошибка подбора, нет необходимых компетенций</t>
  </si>
  <si>
    <t xml:space="preserve">по инициативе компании: осознанный "отсев", брали "на посмотреть - получится ли" , 50/50</t>
  </si>
  <si>
    <t xml:space="preserve">Иное (причина объективно не установлена)</t>
  </si>
  <si>
    <t xml:space="preserve">по инициативе компании: неэффективен</t>
  </si>
  <si>
    <t xml:space="preserve">не устраивает функционал холодных звонков (Устал, либо понял что не его)</t>
  </si>
  <si>
    <t xml:space="preserve">Иное (причина прописана в комментариях)</t>
  </si>
  <si>
    <t xml:space="preserve">4 чел.</t>
  </si>
  <si>
    <t xml:space="preserve">13 чел.</t>
  </si>
  <si>
    <t xml:space="preserve">15 чел.</t>
  </si>
  <si>
    <t xml:space="preserve">5 чел</t>
  </si>
  <si>
    <t xml:space="preserve">4 чел</t>
  </si>
  <si>
    <t>фио</t>
  </si>
  <si>
    <t>Город-локация</t>
  </si>
  <si>
    <t xml:space="preserve">Среднерыночный уровень зп продавцов  </t>
  </si>
  <si>
    <t xml:space="preserve">Мин вилки зп</t>
  </si>
  <si>
    <t xml:space="preserve">Факт выплаченной зп в месяц, (руб.)</t>
  </si>
  <si>
    <t xml:space="preserve">кол-во месяцев работы</t>
  </si>
  <si>
    <t xml:space="preserve">март 23 доплата до мин вилки</t>
  </si>
  <si>
    <t xml:space="preserve">январь 22</t>
  </si>
  <si>
    <t xml:space="preserve">февраль 22</t>
  </si>
  <si>
    <t xml:space="preserve">март 22</t>
  </si>
  <si>
    <t xml:space="preserve">апрель 22</t>
  </si>
  <si>
    <t xml:space="preserve">май 22</t>
  </si>
  <si>
    <t xml:space="preserve">июнь 22</t>
  </si>
  <si>
    <t xml:space="preserve">июль 22</t>
  </si>
  <si>
    <t xml:space="preserve">август 22</t>
  </si>
  <si>
    <t xml:space="preserve">сентябрь 22</t>
  </si>
  <si>
    <t xml:space="preserve">октябрь 23</t>
  </si>
  <si>
    <t xml:space="preserve">ноябрь  22</t>
  </si>
  <si>
    <t xml:space="preserve">декабрь 22</t>
  </si>
  <si>
    <t xml:space="preserve">январь 23 </t>
  </si>
  <si>
    <t xml:space="preserve">февраль 23</t>
  </si>
  <si>
    <t xml:space="preserve">март 23</t>
  </si>
  <si>
    <t>совокупно</t>
  </si>
  <si>
    <t xml:space="preserve">в т.ч.оклад</t>
  </si>
  <si>
    <t xml:space="preserve">в т.ч. премия</t>
  </si>
  <si>
    <t xml:space="preserve">в т.ч.отпускн/больн</t>
  </si>
  <si>
    <t xml:space="preserve">Гореславец Кирилл </t>
  </si>
  <si>
    <t>СПБ</t>
  </si>
  <si>
    <t xml:space="preserve">50 000-120 000</t>
  </si>
  <si>
    <t xml:space="preserve">Макаричева Анастасия </t>
  </si>
  <si>
    <t xml:space="preserve">Шипунов Павел </t>
  </si>
  <si>
    <t xml:space="preserve">Ярко Анастасия </t>
  </si>
  <si>
    <t xml:space="preserve">Алтухова Наталья</t>
  </si>
  <si>
    <t>Ярославль</t>
  </si>
  <si>
    <t xml:space="preserve">60 000-70 000</t>
  </si>
  <si>
    <t xml:space="preserve">Козлова Мария </t>
  </si>
  <si>
    <t xml:space="preserve">Буларга Наталья </t>
  </si>
  <si>
    <t>Смоленск</t>
  </si>
  <si>
    <t xml:space="preserve">50 000-60 000</t>
  </si>
  <si>
    <t xml:space="preserve">Борщева Олеся </t>
  </si>
  <si>
    <t xml:space="preserve">Фомченкова Елена</t>
  </si>
  <si>
    <t xml:space="preserve">Васильев Антон </t>
  </si>
  <si>
    <t xml:space="preserve">Дурнов Валерий </t>
  </si>
  <si>
    <t xml:space="preserve">Романенко Никита</t>
  </si>
  <si>
    <t xml:space="preserve">Конарева Марина </t>
  </si>
  <si>
    <t xml:space="preserve">Руфф Елена</t>
  </si>
  <si>
    <t xml:space="preserve">Ноздрин Иван </t>
  </si>
  <si>
    <t>Орел</t>
  </si>
  <si>
    <t xml:space="preserve">Рукавкова Анастасия </t>
  </si>
  <si>
    <t xml:space="preserve">Карпухина Мария</t>
  </si>
  <si>
    <t xml:space="preserve">Трушин Никита </t>
  </si>
  <si>
    <t>Петрозаводск</t>
  </si>
  <si>
    <t xml:space="preserve">Шалаевский Евгений</t>
  </si>
  <si>
    <t xml:space="preserve">Шалагинова Ксения</t>
  </si>
  <si>
    <t>Иваново</t>
  </si>
  <si>
    <t xml:space="preserve">Шевченко Юлия</t>
  </si>
  <si>
    <t>Белгород</t>
  </si>
  <si>
    <t xml:space="preserve">Николенко Оксана</t>
  </si>
  <si>
    <t>Брянск</t>
  </si>
  <si>
    <t xml:space="preserve">Александрова (Кирюшина) Марина </t>
  </si>
  <si>
    <t>Чебоксары</t>
  </si>
  <si>
    <t>50000-60000</t>
  </si>
  <si>
    <t xml:space="preserve">Ерёмин Кирилл </t>
  </si>
  <si>
    <t xml:space="preserve">Нижний Новгород</t>
  </si>
  <si>
    <t xml:space="preserve">70 000-100 000</t>
  </si>
  <si>
    <t xml:space="preserve">Лаэтина Наталья</t>
  </si>
  <si>
    <t xml:space="preserve">Смирнова Ирина</t>
  </si>
  <si>
    <t xml:space="preserve">Степанов Павел </t>
  </si>
  <si>
    <t xml:space="preserve">Карпов Артём </t>
  </si>
  <si>
    <t xml:space="preserve">Казуров Станислав </t>
  </si>
  <si>
    <t>Самара</t>
  </si>
  <si>
    <t xml:space="preserve">11 429,00</t>
  </si>
  <si>
    <t xml:space="preserve">40 410,00</t>
  </si>
  <si>
    <t xml:space="preserve">48 146,00</t>
  </si>
  <si>
    <t xml:space="preserve">40 459,00</t>
  </si>
  <si>
    <t xml:space="preserve">43 219,00</t>
  </si>
  <si>
    <t xml:space="preserve">Мельникова Татьяна </t>
  </si>
  <si>
    <t xml:space="preserve">99 715,00</t>
  </si>
  <si>
    <t xml:space="preserve">76 917,00</t>
  </si>
  <si>
    <t xml:space="preserve">61 499,00</t>
  </si>
  <si>
    <t xml:space="preserve">53 800,00</t>
  </si>
  <si>
    <t xml:space="preserve">52 081,00</t>
  </si>
  <si>
    <t xml:space="preserve">Мочеева Анна</t>
  </si>
  <si>
    <t xml:space="preserve">Ратова Ольга</t>
  </si>
  <si>
    <t xml:space="preserve">Сергеев Давлат </t>
  </si>
  <si>
    <t xml:space="preserve">Серина Алла</t>
  </si>
  <si>
    <t>Ростов-на-Дону</t>
  </si>
  <si>
    <t xml:space="preserve">от 80000</t>
  </si>
  <si>
    <t xml:space="preserve">Ганус Галина</t>
  </si>
  <si>
    <t>Таганрог</t>
  </si>
  <si>
    <t>60000-80000</t>
  </si>
  <si>
    <t xml:space="preserve">Зиновьева Надежда </t>
  </si>
  <si>
    <t xml:space="preserve">Ломакина Екатерина </t>
  </si>
  <si>
    <t>Краснодар</t>
  </si>
  <si>
    <t xml:space="preserve">Маенко Влада </t>
  </si>
  <si>
    <t xml:space="preserve">Никулина Екатерина </t>
  </si>
  <si>
    <t xml:space="preserve">Пастухова Лариса </t>
  </si>
  <si>
    <t xml:space="preserve">Пасека Оксана </t>
  </si>
  <si>
    <t xml:space="preserve">Цыганко Кира</t>
  </si>
  <si>
    <t xml:space="preserve">Баландина Ольга</t>
  </si>
  <si>
    <t>Анапа</t>
  </si>
  <si>
    <t xml:space="preserve">Сырых Вера </t>
  </si>
  <si>
    <t xml:space="preserve">Бессараб Юлия Анатольевна</t>
  </si>
  <si>
    <t>Екатеринбург</t>
  </si>
  <si>
    <t xml:space="preserve">Логинова Ольга </t>
  </si>
  <si>
    <t xml:space="preserve">Тимофеев Евгений </t>
  </si>
  <si>
    <t xml:space="preserve">Фоминов Алексей Дмитриевич</t>
  </si>
  <si>
    <t xml:space="preserve">Меньшиков Евгений</t>
  </si>
  <si>
    <t xml:space="preserve">Гуляев Алексей </t>
  </si>
  <si>
    <t xml:space="preserve">Муратов Максим </t>
  </si>
  <si>
    <t>Омск</t>
  </si>
  <si>
    <t xml:space="preserve">65 000 - 80 000</t>
  </si>
  <si>
    <t xml:space="preserve">Банникова Анна Петровна</t>
  </si>
  <si>
    <t>Уфа</t>
  </si>
  <si>
    <t xml:space="preserve">60 000 - 80 000</t>
  </si>
  <si>
    <t xml:space="preserve">Арсланов Виль</t>
  </si>
  <si>
    <t xml:space="preserve">Власова Екатерина </t>
  </si>
  <si>
    <t>Ижевск</t>
  </si>
  <si>
    <t xml:space="preserve">55 000 - 75 000</t>
  </si>
  <si>
    <t xml:space="preserve">Елина Наталья</t>
  </si>
  <si>
    <t>Барнаул</t>
  </si>
  <si>
    <t xml:space="preserve">Широкова Евгения </t>
  </si>
  <si>
    <t>Первоуральск</t>
  </si>
  <si>
    <t xml:space="preserve">60 000-80 000</t>
  </si>
  <si>
    <t xml:space="preserve">Якимова Кристина </t>
  </si>
  <si>
    <t>Пермь</t>
  </si>
  <si>
    <t xml:space="preserve">Ермолаева Светлана</t>
  </si>
  <si>
    <t>Красноярск</t>
  </si>
  <si>
    <t xml:space="preserve">Гончарова Анастасия</t>
  </si>
  <si>
    <t xml:space="preserve">Бычков Сергей </t>
  </si>
  <si>
    <t xml:space="preserve">50000 - 70000</t>
  </si>
  <si>
    <t xml:space="preserve">Литвиненко Валентина </t>
  </si>
  <si>
    <t>Новосибирск</t>
  </si>
  <si>
    <t xml:space="preserve">800000 - 100000</t>
  </si>
  <si>
    <t xml:space="preserve">Пименова Ольга </t>
  </si>
  <si>
    <t xml:space="preserve">Свердлова Ангелина </t>
  </si>
  <si>
    <t>Кемерово</t>
  </si>
  <si>
    <t xml:space="preserve">70000 - 90000</t>
  </si>
  <si>
    <t xml:space="preserve">Коробцев Евгений</t>
  </si>
  <si>
    <t>Нижневартовск</t>
  </si>
  <si>
    <t xml:space="preserve">Азоронок Анастасия</t>
  </si>
  <si>
    <t>Томск</t>
  </si>
  <si>
    <t xml:space="preserve">Чебан Алина</t>
  </si>
  <si>
    <t xml:space="preserve">Зотин Вячеслав</t>
  </si>
  <si>
    <t xml:space="preserve">Маконго Карина</t>
  </si>
  <si>
    <t>Тюмень</t>
  </si>
  <si>
    <t xml:space="preserve">Продавцы МК+УП в период с июня 2022 по февраль 2023 (9 месяцев)</t>
  </si>
  <si>
    <t xml:space="preserve">Июнь 2022</t>
  </si>
  <si>
    <t xml:space="preserve">Июль 2022</t>
  </si>
  <si>
    <t xml:space="preserve">Август 2022</t>
  </si>
  <si>
    <t xml:space="preserve">Сентябрь 2022</t>
  </si>
  <si>
    <t xml:space="preserve">Октябрь 2022</t>
  </si>
  <si>
    <t xml:space="preserve">Ноябрь 2022</t>
  </si>
  <si>
    <t xml:space="preserve">Декабрь 2022</t>
  </si>
  <si>
    <t xml:space="preserve">Январь 2023</t>
  </si>
  <si>
    <t xml:space="preserve">Февраль 2023</t>
  </si>
  <si>
    <t xml:space="preserve">Март 2023</t>
  </si>
  <si>
    <t xml:space="preserve">Апрель 2024</t>
  </si>
  <si>
    <t xml:space="preserve">Май 2023</t>
  </si>
  <si>
    <t>МР</t>
  </si>
  <si>
    <t xml:space="preserve">дата приема</t>
  </si>
  <si>
    <t xml:space="preserve">дата увольнения</t>
  </si>
  <si>
    <t xml:space="preserve">срок работы уволенных, мес.</t>
  </si>
  <si>
    <t xml:space="preserve">срок работы в мес.</t>
  </si>
  <si>
    <t xml:space="preserve">АВ, руб</t>
  </si>
  <si>
    <t xml:space="preserve">МР Приволжье</t>
  </si>
  <si>
    <t>н.в</t>
  </si>
  <si>
    <t xml:space="preserve">МР Урал</t>
  </si>
  <si>
    <t xml:space="preserve">МР Центр</t>
  </si>
  <si>
    <t xml:space="preserve">293 174,00</t>
  </si>
  <si>
    <t xml:space="preserve">МР Юг</t>
  </si>
  <si>
    <t xml:space="preserve">Баландина Ольга </t>
  </si>
  <si>
    <t>н.в.</t>
  </si>
  <si>
    <t xml:space="preserve">МР Сибирь</t>
  </si>
  <si>
    <t xml:space="preserve">Гончарова Анастасия </t>
  </si>
  <si>
    <t xml:space="preserve">МР Северо-Запад</t>
  </si>
  <si>
    <t xml:space="preserve">МР ЮГ</t>
  </si>
  <si>
    <t xml:space="preserve">МР Восток</t>
  </si>
  <si>
    <t xml:space="preserve">Ермолаева Светлана </t>
  </si>
  <si>
    <t xml:space="preserve">Руфф Елена </t>
  </si>
  <si>
    <t xml:space="preserve">Серина Алла </t>
  </si>
  <si>
    <t xml:space="preserve">МР Урал </t>
  </si>
  <si>
    <t xml:space="preserve">Фомченкова Елена </t>
  </si>
  <si>
    <t xml:space="preserve">Итого сотрудников</t>
  </si>
  <si>
    <t>ВЫВОДЫ:</t>
  </si>
  <si>
    <r>
      <rPr>
        <b/>
        <sz val="8"/>
        <color indexed="4"/>
        <rFont val="Arial"/>
      </rPr>
      <t xml:space="preserve">итого сотр. на </t>
    </r>
    <r>
      <rPr>
        <b/>
        <sz val="8"/>
        <color indexed="2"/>
        <rFont val="Arial"/>
      </rPr>
      <t>1</t>
    </r>
    <r>
      <rPr>
        <b/>
        <sz val="8"/>
        <color indexed="4"/>
        <rFont val="Arial"/>
      </rPr>
      <t xml:space="preserve"> мес. работы/ АВ (ср. зн.)/</t>
    </r>
    <r>
      <rPr>
        <b/>
        <sz val="8"/>
        <color indexed="6"/>
        <rFont val="Arial"/>
      </rPr>
      <t xml:space="preserve">премия (7%)</t>
    </r>
  </si>
  <si>
    <t xml:space="preserve">2 чел</t>
  </si>
  <si>
    <t>0/0</t>
  </si>
  <si>
    <r>
      <rPr>
        <b/>
        <sz val="9"/>
        <color indexed="4"/>
        <rFont val="Arial"/>
      </rPr>
      <t>89900</t>
    </r>
    <r>
      <rPr>
        <b/>
        <sz val="9"/>
        <color indexed="6"/>
        <rFont val="Arial"/>
      </rPr>
      <t>/6293</t>
    </r>
  </si>
  <si>
    <t xml:space="preserve">0 чел</t>
  </si>
  <si>
    <r>
      <rPr>
        <b/>
        <sz val="9"/>
        <color indexed="4"/>
        <rFont val="Arial"/>
      </rPr>
      <t>35300/</t>
    </r>
    <r>
      <rPr>
        <b/>
        <sz val="9"/>
        <color indexed="6"/>
        <rFont val="Arial"/>
      </rPr>
      <t>2471</t>
    </r>
  </si>
  <si>
    <t xml:space="preserve">7 чел</t>
  </si>
  <si>
    <t xml:space="preserve">2 чел </t>
  </si>
  <si>
    <t xml:space="preserve">3 чел</t>
  </si>
  <si>
    <r>
      <rPr>
        <b/>
        <sz val="8"/>
        <color indexed="4"/>
        <rFont val="Arial"/>
      </rPr>
      <t xml:space="preserve">итого сотр. на</t>
    </r>
    <r>
      <rPr>
        <b/>
        <sz val="8"/>
        <color indexed="2"/>
        <rFont val="Arial"/>
      </rPr>
      <t xml:space="preserve"> 2</t>
    </r>
    <r>
      <rPr>
        <b/>
        <sz val="8"/>
        <color indexed="4"/>
        <rFont val="Arial"/>
      </rPr>
      <t xml:space="preserve"> мес. работы/ АВ (ср. зн.)/</t>
    </r>
    <r>
      <rPr>
        <b/>
        <sz val="8"/>
        <color indexed="6"/>
        <rFont val="Arial"/>
      </rPr>
      <t xml:space="preserve">премия (7%)</t>
    </r>
  </si>
  <si>
    <t xml:space="preserve">1 чел.</t>
  </si>
  <si>
    <r>
      <rPr>
        <b/>
        <sz val="9"/>
        <color indexed="4"/>
        <rFont val="Arial"/>
      </rPr>
      <t>12000</t>
    </r>
    <r>
      <rPr>
        <b/>
        <sz val="9"/>
        <color indexed="6"/>
        <rFont val="Arial"/>
      </rPr>
      <t>/840</t>
    </r>
  </si>
  <si>
    <t xml:space="preserve">1 чел</t>
  </si>
  <si>
    <r>
      <rPr>
        <b/>
        <sz val="9"/>
        <color indexed="4"/>
        <rFont val="Arial"/>
      </rPr>
      <t>179000/</t>
    </r>
    <r>
      <rPr>
        <b/>
        <sz val="9"/>
        <color indexed="6"/>
        <rFont val="Arial"/>
      </rPr>
      <t>12530</t>
    </r>
  </si>
  <si>
    <r>
      <rPr>
        <b/>
        <sz val="9"/>
        <color indexed="4"/>
        <rFont val="Arial"/>
      </rPr>
      <t>165420/</t>
    </r>
    <r>
      <rPr>
        <b/>
        <sz val="9"/>
        <color indexed="6"/>
        <rFont val="Arial"/>
      </rPr>
      <t>11600</t>
    </r>
  </si>
  <si>
    <t xml:space="preserve">6 чел.</t>
  </si>
  <si>
    <r>
      <rPr>
        <b/>
        <sz val="9"/>
        <color indexed="4"/>
        <rFont val="Arial"/>
      </rPr>
      <t>72000/</t>
    </r>
    <r>
      <rPr>
        <b/>
        <sz val="9"/>
        <color indexed="6"/>
        <rFont val="Arial"/>
      </rPr>
      <t>5040</t>
    </r>
  </si>
  <si>
    <r>
      <rPr>
        <b/>
        <sz val="9"/>
        <color indexed="4"/>
        <rFont val="Arial"/>
      </rPr>
      <t>30300/</t>
    </r>
    <r>
      <rPr>
        <b/>
        <sz val="9"/>
        <color indexed="6"/>
        <rFont val="Arial"/>
      </rPr>
      <t>2121</t>
    </r>
  </si>
  <si>
    <r>
      <rPr>
        <b/>
        <sz val="8"/>
        <color indexed="4"/>
        <rFont val="Arial"/>
      </rPr>
      <t xml:space="preserve">итого сотр. на </t>
    </r>
    <r>
      <rPr>
        <b/>
        <sz val="8"/>
        <color indexed="2"/>
        <rFont val="Arial"/>
      </rPr>
      <t>3</t>
    </r>
    <r>
      <rPr>
        <b/>
        <sz val="8"/>
        <color indexed="4"/>
        <rFont val="Arial"/>
      </rPr>
      <t xml:space="preserve"> мес. работы/ АВ (ср. зн.)/</t>
    </r>
    <r>
      <rPr>
        <b/>
        <sz val="8"/>
        <color indexed="6"/>
        <rFont val="Arial"/>
      </rPr>
      <t xml:space="preserve">премия (7%)</t>
    </r>
  </si>
  <si>
    <r>
      <rPr>
        <b/>
        <sz val="9"/>
        <color indexed="4"/>
        <rFont val="Arial"/>
      </rPr>
      <t>63300/</t>
    </r>
    <r>
      <rPr>
        <b/>
        <sz val="9"/>
        <color indexed="6"/>
        <rFont val="Arial"/>
      </rPr>
      <t>4431</t>
    </r>
  </si>
  <si>
    <r>
      <rPr>
        <b/>
        <sz val="9"/>
        <color indexed="4"/>
        <rFont val="Arial"/>
      </rPr>
      <t xml:space="preserve">78300/ </t>
    </r>
    <r>
      <rPr>
        <b/>
        <sz val="9"/>
        <color indexed="6"/>
        <rFont val="Arial"/>
      </rPr>
      <t>5481</t>
    </r>
  </si>
  <si>
    <r>
      <rPr>
        <b/>
        <sz val="9"/>
        <color indexed="4"/>
        <rFont val="Arial"/>
      </rPr>
      <t>16800/</t>
    </r>
    <r>
      <rPr>
        <b/>
        <sz val="9"/>
        <color indexed="6"/>
        <rFont val="Arial"/>
      </rPr>
      <t>11760</t>
    </r>
  </si>
  <si>
    <r>
      <rPr>
        <b/>
        <sz val="9"/>
        <color indexed="4"/>
        <rFont val="Arial"/>
      </rPr>
      <t>220000/</t>
    </r>
    <r>
      <rPr>
        <b/>
        <sz val="9"/>
        <color indexed="6"/>
        <rFont val="Arial"/>
      </rPr>
      <t>12100</t>
    </r>
  </si>
  <si>
    <r>
      <rPr>
        <b/>
        <sz val="9"/>
        <color indexed="4"/>
        <rFont val="Arial"/>
      </rPr>
      <t>32000/</t>
    </r>
    <r>
      <rPr>
        <b/>
        <sz val="9"/>
        <color indexed="6"/>
        <rFont val="Arial"/>
      </rPr>
      <t>2240</t>
    </r>
  </si>
  <si>
    <r>
      <rPr>
        <b/>
        <sz val="9"/>
        <color indexed="4"/>
        <rFont val="Arial"/>
      </rPr>
      <t>82000/</t>
    </r>
    <r>
      <rPr>
        <b/>
        <sz val="9"/>
        <color indexed="6"/>
        <rFont val="Arial"/>
      </rPr>
      <t>5740</t>
    </r>
  </si>
  <si>
    <r>
      <rPr>
        <b/>
        <sz val="8"/>
        <color indexed="4"/>
        <rFont val="Arial"/>
      </rPr>
      <t xml:space="preserve">итого сотр. на </t>
    </r>
    <r>
      <rPr>
        <b/>
        <sz val="8"/>
        <color indexed="2"/>
        <rFont val="Arial"/>
      </rPr>
      <t>4</t>
    </r>
    <r>
      <rPr>
        <b/>
        <sz val="8"/>
        <color indexed="4"/>
        <rFont val="Arial"/>
      </rPr>
      <t xml:space="preserve"> мес. работы/ АВ (ср. зн.)/</t>
    </r>
    <r>
      <rPr>
        <b/>
        <sz val="8"/>
        <color indexed="6"/>
        <rFont val="Arial"/>
      </rPr>
      <t xml:space="preserve">премия (5,5%)</t>
    </r>
  </si>
  <si>
    <t xml:space="preserve">2 чел.</t>
  </si>
  <si>
    <r>
      <rPr>
        <b/>
        <sz val="9"/>
        <color indexed="4"/>
        <rFont val="Arial"/>
      </rPr>
      <t>157000/</t>
    </r>
    <r>
      <rPr>
        <b/>
        <sz val="9"/>
        <color indexed="6"/>
        <rFont val="Arial"/>
      </rPr>
      <t>8635</t>
    </r>
  </si>
  <si>
    <r>
      <rPr>
        <b/>
        <sz val="9"/>
        <color indexed="4"/>
        <rFont val="Arial"/>
      </rPr>
      <t>28600/</t>
    </r>
    <r>
      <rPr>
        <b/>
        <sz val="9"/>
        <color indexed="6"/>
        <rFont val="Arial"/>
      </rPr>
      <t>1573</t>
    </r>
  </si>
  <si>
    <r>
      <rPr>
        <b/>
        <sz val="9"/>
        <color indexed="4"/>
        <rFont val="Arial"/>
      </rPr>
      <t>29873</t>
    </r>
    <r>
      <rPr>
        <b/>
        <sz val="9"/>
        <color indexed="6"/>
        <rFont val="Arial"/>
      </rPr>
      <t>/1643</t>
    </r>
  </si>
  <si>
    <r>
      <rPr>
        <b/>
        <sz val="9"/>
        <color indexed="4"/>
        <rFont val="Arial"/>
      </rPr>
      <t>154500/</t>
    </r>
    <r>
      <rPr>
        <b/>
        <sz val="9"/>
        <color indexed="6"/>
        <rFont val="Arial"/>
      </rPr>
      <t>8497</t>
    </r>
  </si>
  <si>
    <r>
      <rPr>
        <b/>
        <sz val="9"/>
        <color indexed="4"/>
        <rFont val="Arial"/>
      </rPr>
      <t>280000/</t>
    </r>
    <r>
      <rPr>
        <b/>
        <sz val="9"/>
        <color indexed="6"/>
        <rFont val="Arial"/>
      </rPr>
      <t>15400</t>
    </r>
  </si>
  <si>
    <r>
      <rPr>
        <b/>
        <sz val="9"/>
        <color indexed="4"/>
        <rFont val="Arial"/>
      </rPr>
      <t>175000/</t>
    </r>
    <r>
      <rPr>
        <b/>
        <sz val="9"/>
        <color indexed="6"/>
        <rFont val="Arial"/>
      </rPr>
      <t>9600</t>
    </r>
  </si>
  <si>
    <r>
      <rPr>
        <b/>
        <sz val="9"/>
        <color indexed="4"/>
        <rFont val="Arial"/>
      </rPr>
      <t>21300/</t>
    </r>
    <r>
      <rPr>
        <b/>
        <sz val="9"/>
        <color indexed="6"/>
        <rFont val="Arial"/>
      </rPr>
      <t>1173</t>
    </r>
  </si>
  <si>
    <r>
      <rPr>
        <b/>
        <sz val="8"/>
        <color indexed="4"/>
        <rFont val="Arial"/>
      </rPr>
      <t xml:space="preserve">итого сотр. на </t>
    </r>
    <r>
      <rPr>
        <b/>
        <sz val="8"/>
        <color indexed="2"/>
        <rFont val="Arial"/>
      </rPr>
      <t>5</t>
    </r>
    <r>
      <rPr>
        <b/>
        <sz val="8"/>
        <color indexed="4"/>
        <rFont val="Arial"/>
      </rPr>
      <t xml:space="preserve"> мес. работы/ АВ (ср. зн.)/</t>
    </r>
    <r>
      <rPr>
        <b/>
        <sz val="8"/>
        <color indexed="6"/>
        <rFont val="Arial"/>
      </rPr>
      <t xml:space="preserve">премия (5,5%)</t>
    </r>
  </si>
  <si>
    <t xml:space="preserve">2 чел. </t>
  </si>
  <si>
    <r>
      <rPr>
        <b/>
        <sz val="9"/>
        <color indexed="4"/>
        <rFont val="Arial"/>
      </rPr>
      <t>292700/</t>
    </r>
    <r>
      <rPr>
        <b/>
        <sz val="9"/>
        <color indexed="6"/>
        <rFont val="Arial"/>
      </rPr>
      <t>16098</t>
    </r>
  </si>
  <si>
    <r>
      <rPr>
        <b/>
        <sz val="9"/>
        <color indexed="4"/>
        <rFont val="Arial"/>
      </rPr>
      <t>137814</t>
    </r>
    <r>
      <rPr>
        <b/>
        <sz val="9"/>
        <color indexed="6"/>
        <rFont val="Arial"/>
      </rPr>
      <t>/7580</t>
    </r>
  </si>
  <si>
    <r>
      <rPr>
        <b/>
        <sz val="9"/>
        <color indexed="4"/>
        <rFont val="Arial"/>
      </rPr>
      <t>44000/</t>
    </r>
    <r>
      <rPr>
        <b/>
        <sz val="9"/>
        <color indexed="6"/>
        <rFont val="Arial"/>
      </rPr>
      <t>2420</t>
    </r>
  </si>
  <si>
    <r>
      <rPr>
        <b/>
        <sz val="9"/>
        <color indexed="4"/>
        <rFont val="Arial"/>
      </rPr>
      <t>169250/</t>
    </r>
    <r>
      <rPr>
        <b/>
        <sz val="9"/>
        <color indexed="6"/>
        <rFont val="Arial"/>
      </rPr>
      <t>9310</t>
    </r>
  </si>
  <si>
    <r>
      <rPr>
        <b/>
        <sz val="9"/>
        <color indexed="4"/>
        <rFont val="Arial"/>
      </rPr>
      <t>480000/</t>
    </r>
    <r>
      <rPr>
        <b/>
        <sz val="9"/>
        <color indexed="6"/>
        <rFont val="Arial"/>
      </rPr>
      <t>26400</t>
    </r>
  </si>
  <si>
    <r>
      <rPr>
        <b/>
        <sz val="9"/>
        <color indexed="4"/>
        <rFont val="Arial"/>
      </rPr>
      <t>210000/</t>
    </r>
    <r>
      <rPr>
        <b/>
        <sz val="9"/>
        <color indexed="6"/>
        <rFont val="Arial"/>
      </rPr>
      <t>11550</t>
    </r>
  </si>
  <si>
    <r>
      <rPr>
        <b/>
        <sz val="8"/>
        <color indexed="4"/>
        <rFont val="Arial"/>
      </rPr>
      <t xml:space="preserve">итого сотр. на </t>
    </r>
    <r>
      <rPr>
        <b/>
        <sz val="8"/>
        <color indexed="2"/>
        <rFont val="Arial"/>
      </rPr>
      <t>6</t>
    </r>
    <r>
      <rPr>
        <b/>
        <sz val="8"/>
        <color indexed="4"/>
        <rFont val="Arial"/>
      </rPr>
      <t xml:space="preserve"> мес. работы/ АВ (ср. зн.)/</t>
    </r>
    <r>
      <rPr>
        <b/>
        <sz val="8"/>
        <color indexed="6"/>
        <rFont val="Arial"/>
      </rPr>
      <t xml:space="preserve">премия (5,5%)</t>
    </r>
  </si>
  <si>
    <r>
      <rPr>
        <b/>
        <sz val="9"/>
        <color indexed="4"/>
        <rFont val="Arial"/>
      </rPr>
      <t>101000/</t>
    </r>
    <r>
      <rPr>
        <b/>
        <sz val="9"/>
        <color indexed="6"/>
        <rFont val="Arial"/>
      </rPr>
      <t>5555</t>
    </r>
  </si>
  <si>
    <r>
      <rPr>
        <b/>
        <sz val="9"/>
        <color indexed="4"/>
        <rFont val="Arial"/>
      </rPr>
      <t>508556/</t>
    </r>
    <r>
      <rPr>
        <b/>
        <sz val="9"/>
        <color indexed="6"/>
        <rFont val="Arial"/>
      </rPr>
      <t>28000</t>
    </r>
  </si>
  <si>
    <r>
      <rPr>
        <b/>
        <sz val="9"/>
        <color indexed="4"/>
        <rFont val="Arial"/>
      </rPr>
      <t>321200/</t>
    </r>
    <r>
      <rPr>
        <b/>
        <sz val="9"/>
        <color indexed="6"/>
        <rFont val="Arial"/>
      </rPr>
      <t>17666</t>
    </r>
  </si>
  <si>
    <r>
      <rPr>
        <b/>
        <sz val="9"/>
        <color indexed="4"/>
        <rFont val="Arial"/>
      </rPr>
      <t>903000/</t>
    </r>
    <r>
      <rPr>
        <b/>
        <sz val="9"/>
        <color indexed="6"/>
        <rFont val="Arial"/>
      </rPr>
      <t>50000</t>
    </r>
  </si>
  <si>
    <r>
      <rPr>
        <b/>
        <sz val="9"/>
        <color indexed="4"/>
        <rFont val="Arial"/>
      </rPr>
      <t>157500/</t>
    </r>
    <r>
      <rPr>
        <b/>
        <sz val="9"/>
        <color indexed="6"/>
        <rFont val="Arial"/>
      </rPr>
      <t>8600</t>
    </r>
  </si>
  <si>
    <r>
      <rPr>
        <b/>
        <sz val="9"/>
        <color indexed="4"/>
        <rFont val="Arial"/>
      </rPr>
      <t>370000/</t>
    </r>
    <r>
      <rPr>
        <b/>
        <sz val="9"/>
        <color indexed="6"/>
        <rFont val="Arial"/>
      </rPr>
      <t>20350</t>
    </r>
  </si>
  <si>
    <r>
      <rPr>
        <b/>
        <sz val="9"/>
        <color indexed="4"/>
        <rFont val="Arial"/>
      </rPr>
      <t>400000/</t>
    </r>
    <r>
      <rPr>
        <b/>
        <sz val="9"/>
        <color indexed="6"/>
        <rFont val="Arial"/>
      </rPr>
      <t>22000</t>
    </r>
  </si>
  <si>
    <t xml:space="preserve">премия, руб. (5,5%)</t>
  </si>
  <si>
    <t>0-2750</t>
  </si>
  <si>
    <r>
      <rPr>
        <b/>
        <sz val="8"/>
        <color indexed="4"/>
        <rFont val="Arial"/>
      </rPr>
      <t xml:space="preserve">кол-во человек с АВ </t>
    </r>
    <r>
      <rPr>
        <b/>
        <sz val="8"/>
        <color indexed="2"/>
        <rFont val="Arial"/>
      </rPr>
      <t xml:space="preserve">до 50 тыс</t>
    </r>
    <r>
      <rPr>
        <b/>
        <sz val="8"/>
        <color indexed="4"/>
        <rFont val="Arial"/>
      </rPr>
      <t xml:space="preserve">/% от общего числа продавцов</t>
    </r>
  </si>
  <si>
    <t>2750-5500</t>
  </si>
  <si>
    <r>
      <rPr>
        <b/>
        <sz val="8"/>
        <color indexed="4"/>
        <rFont val="Arial"/>
      </rPr>
      <t xml:space="preserve">кол-во человек с АВ </t>
    </r>
    <r>
      <rPr>
        <b/>
        <sz val="8"/>
        <color indexed="2"/>
        <rFont val="Arial"/>
      </rPr>
      <t xml:space="preserve">50-100 тыс</t>
    </r>
    <r>
      <rPr>
        <b/>
        <sz val="8"/>
        <color indexed="4"/>
        <rFont val="Arial"/>
      </rPr>
      <t xml:space="preserve">/% от общего числа продавцов</t>
    </r>
  </si>
  <si>
    <t>5500-11000</t>
  </si>
  <si>
    <r>
      <rPr>
        <b/>
        <sz val="8"/>
        <color indexed="4"/>
        <rFont val="Arial"/>
      </rPr>
      <t xml:space="preserve">кол-во человек с АВ </t>
    </r>
    <r>
      <rPr>
        <b/>
        <sz val="8"/>
        <color indexed="2"/>
        <rFont val="Arial"/>
      </rPr>
      <t xml:space="preserve">100-200 тыс</t>
    </r>
    <r>
      <rPr>
        <b/>
        <sz val="8"/>
        <color indexed="4"/>
        <rFont val="Arial"/>
      </rPr>
      <t xml:space="preserve">/% от общего числа продавцов</t>
    </r>
  </si>
  <si>
    <t>11000-16500</t>
  </si>
  <si>
    <r>
      <rPr>
        <b/>
        <sz val="8"/>
        <color indexed="4"/>
        <rFont val="Arial"/>
      </rPr>
      <t xml:space="preserve">кол-во человек с АВ </t>
    </r>
    <r>
      <rPr>
        <b/>
        <sz val="8"/>
        <color indexed="2"/>
        <rFont val="Arial"/>
      </rPr>
      <t xml:space="preserve">200-300 тыс</t>
    </r>
    <r>
      <rPr>
        <b/>
        <sz val="8"/>
        <color indexed="4"/>
        <rFont val="Arial"/>
      </rPr>
      <t xml:space="preserve">/% от общего числа продавцов</t>
    </r>
  </si>
  <si>
    <t xml:space="preserve">16500 -27500</t>
  </si>
  <si>
    <r>
      <rPr>
        <b/>
        <sz val="8"/>
        <color indexed="4"/>
        <rFont val="Arial"/>
      </rPr>
      <t xml:space="preserve">кол-во человек с АВ </t>
    </r>
    <r>
      <rPr>
        <b/>
        <sz val="8"/>
        <color indexed="2"/>
        <rFont val="Arial"/>
      </rPr>
      <t xml:space="preserve"> 300-500 тыс/</t>
    </r>
    <r>
      <rPr>
        <b/>
        <sz val="8"/>
        <color indexed="4"/>
        <rFont val="Arial"/>
      </rPr>
      <t xml:space="preserve">% от общего числа продавцов</t>
    </r>
  </si>
  <si>
    <t xml:space="preserve">свыше 27500</t>
  </si>
  <si>
    <r>
      <rPr>
        <b/>
        <sz val="8"/>
        <color indexed="4"/>
        <rFont val="Arial"/>
      </rPr>
      <t xml:space="preserve">кол-во человек с АВ </t>
    </r>
    <r>
      <rPr>
        <b/>
        <sz val="8"/>
        <color indexed="2"/>
        <rFont val="Arial"/>
      </rPr>
      <t xml:space="preserve"> свыше 500 тыс/</t>
    </r>
    <r>
      <rPr>
        <b/>
        <sz val="8"/>
        <color indexed="4"/>
        <rFont val="Arial"/>
      </rPr>
      <t xml:space="preserve">% от общего числа продавцов</t>
    </r>
  </si>
  <si>
    <t xml:space="preserve">УВОЛЕНО с июня 2022, всего</t>
  </si>
  <si>
    <t xml:space="preserve">в т.ч. после 1 мес. работы</t>
  </si>
  <si>
    <t xml:space="preserve">в т.ч. после 2 мес. работы</t>
  </si>
  <si>
    <t xml:space="preserve">в т.ч. после 3 мес. работы</t>
  </si>
  <si>
    <t xml:space="preserve">в т.ч. после 4 мес. работы</t>
  </si>
  <si>
    <t xml:space="preserve">в т.ч. после 5 мес. работы</t>
  </si>
  <si>
    <t xml:space="preserve">в т.ч. после 6 мес. работы</t>
  </si>
  <si>
    <t xml:space="preserve">более полугода-год</t>
  </si>
  <si>
    <t xml:space="preserve">более года</t>
  </si>
  <si>
    <r>
      <rPr>
        <b/>
        <sz val="10"/>
        <color theme="1"/>
        <rFont val="Arial"/>
      </rPr>
      <t xml:space="preserve">расчет минимальной премии  =</t>
    </r>
    <r>
      <rPr>
        <b/>
        <sz val="10"/>
        <color indexed="2"/>
        <rFont val="Arial"/>
      </rPr>
      <t xml:space="preserve">16 500+</t>
    </r>
    <r>
      <rPr>
        <b/>
        <sz val="10"/>
        <color theme="1"/>
        <rFont val="Arial"/>
      </rPr>
      <t xml:space="preserve"> руб:</t>
    </r>
  </si>
  <si>
    <t xml:space="preserve">300 т.р. АВ = 1000 отправлений в активном портфеле продавца</t>
  </si>
  <si>
    <t xml:space="preserve">средний чек=300 рублей</t>
  </si>
  <si>
    <t xml:space="preserve">1000 отправлений - это в 6-месячной базе у сотрудника имеются:</t>
  </si>
  <si>
    <t xml:space="preserve">- 10 ИМ 100+ (т.е. запуск ежемесячно 1-2 новых стабильно)</t>
  </si>
  <si>
    <t xml:space="preserve">или раз в квартал 1000+</t>
  </si>
  <si>
    <t xml:space="preserve">Т.Е. ЗА ГОД ДОЛЖНЫ ЗАПУСКАТЬСЯ 20 менеджеров*2*12 =примерно 480 ИМ с отправками 100+</t>
  </si>
  <si>
    <t xml:space="preserve">- 20 ИМ 50+ (т.е. запуск ежемесячно 3-4 новых стабильно)</t>
  </si>
  <si>
    <t xml:space="preserve">- 50 ИМ 20+ (т.е. запуск ежемесячно 8-10 новых стабильно)</t>
  </si>
  <si>
    <t xml:space="preserve">факт по регсети за 2022+1 кв. 2023=1,25 года</t>
  </si>
  <si>
    <t xml:space="preserve">из них СПБ</t>
  </si>
  <si>
    <t>МК</t>
  </si>
  <si>
    <t xml:space="preserve">запущено ИМ с отправлениями 100+</t>
  </si>
  <si>
    <t xml:space="preserve">из расчета 20 работащих менедежров, это</t>
  </si>
  <si>
    <t xml:space="preserve">в месяц поМК запускается </t>
  </si>
  <si>
    <t xml:space="preserve">5 на всех 20 менеджеров, т.е 1 менедежр запускает один ИМ 100+ один раз в три месяца</t>
  </si>
  <si>
    <t xml:space="preserve">запущено ИМ с отправлениями 1000+</t>
  </si>
  <si>
    <t xml:space="preserve">4  за 1,25 года на все МК, кроме СПБ</t>
  </si>
  <si>
    <t xml:space="preserve">запущено ИМ с отправлениями 2000+</t>
  </si>
  <si>
    <t xml:space="preserve">2  за 1,25 года на все МК, кроме СПБ</t>
  </si>
  <si>
    <t xml:space="preserve">УП Д ВОСТОК</t>
  </si>
  <si>
    <t xml:space="preserve">УП КРАСНОЯРСК</t>
  </si>
  <si>
    <t xml:space="preserve">УП КУЗБАСС</t>
  </si>
  <si>
    <t xml:space="preserve">УП ТЮМЕНЬ</t>
  </si>
  <si>
    <t xml:space="preserve">УП КАЗАНЬ</t>
  </si>
  <si>
    <t xml:space="preserve">УП Н.НОВГОРОД</t>
  </si>
  <si>
    <t xml:space="preserve">УП ПОВОЛЖЬЕ</t>
  </si>
  <si>
    <t xml:space="preserve">УП САРАТОВ</t>
  </si>
  <si>
    <t xml:space="preserve">УП ГОРОД</t>
  </si>
  <si>
    <t xml:space="preserve">УП ЕВРАЗ</t>
  </si>
  <si>
    <t xml:space="preserve">УП ПЕРМЬ</t>
  </si>
  <si>
    <t xml:space="preserve">УП ЧЕЛЯБИНСК</t>
  </si>
  <si>
    <t xml:space="preserve">УП ЗАПАД</t>
  </si>
  <si>
    <t xml:space="preserve">УП СЕВЕР</t>
  </si>
  <si>
    <t xml:space="preserve">УП ЦЕНТР</t>
  </si>
  <si>
    <t xml:space="preserve">УП ЧЕРНОЗЕМЬЕ</t>
  </si>
  <si>
    <t xml:space="preserve">УП ВОЛГОГРАД</t>
  </si>
  <si>
    <t xml:space="preserve">УП КАВКАЗ</t>
  </si>
  <si>
    <t xml:space="preserve">УП ЮГ</t>
  </si>
  <si>
    <t xml:space="preserve">УП (Подразделение)</t>
  </si>
  <si>
    <t xml:space="preserve">Кол-во менеджеров по продажам, без РОП</t>
  </si>
  <si>
    <t>Санкт-Петербург</t>
  </si>
  <si>
    <t xml:space="preserve">Восток </t>
  </si>
  <si>
    <t xml:space="preserve">Макрорегион </t>
  </si>
  <si>
    <t xml:space="preserve">Сибирь </t>
  </si>
  <si>
    <t xml:space="preserve">УП Кузбасс</t>
  </si>
  <si>
    <t>---</t>
  </si>
  <si>
    <t xml:space="preserve">УП Тюмень </t>
  </si>
  <si>
    <t xml:space="preserve">УП Пермь</t>
  </si>
  <si>
    <t xml:space="preserve">100% замена всех четверых</t>
  </si>
  <si>
    <t xml:space="preserve">УП Север</t>
  </si>
  <si>
    <t xml:space="preserve">один и тот же сотрудник</t>
  </si>
  <si>
    <t xml:space="preserve">УП Черноземье</t>
  </si>
  <si>
    <t xml:space="preserve">УП Центр</t>
  </si>
  <si>
    <t xml:space="preserve">Плановое штатное кол-во сотрудников на конец 2022</t>
  </si>
  <si>
    <r>
      <rPr>
        <i/>
        <sz val="10"/>
        <color theme="1"/>
        <rFont val="Arial"/>
      </rPr>
      <t xml:space="preserve">% укомплектованности </t>
    </r>
    <r>
      <rPr>
        <b/>
        <i/>
        <sz val="10"/>
        <color theme="5"/>
        <rFont val="Arial"/>
      </rPr>
      <t xml:space="preserve">(на начало февраля)</t>
    </r>
  </si>
  <si>
    <t xml:space="preserve">Уволенные из состава отдела с начала года (накопительным итогом)</t>
  </si>
  <si>
    <r>
      <rPr>
        <i/>
        <sz val="10"/>
        <color theme="1"/>
        <rFont val="Arial"/>
      </rPr>
      <t xml:space="preserve">% текучести  </t>
    </r>
    <r>
      <rPr>
        <b/>
        <i/>
        <sz val="10"/>
        <color indexed="2"/>
        <rFont val="Arial"/>
      </rPr>
      <t xml:space="preserve">(на конец февраля)</t>
    </r>
  </si>
  <si>
    <r>
      <rPr>
        <b/>
        <sz val="10"/>
        <color theme="1"/>
        <rFont val="Arial"/>
      </rPr>
      <t xml:space="preserve">ФАКТ  на </t>
    </r>
    <r>
      <rPr>
        <b/>
        <sz val="10"/>
        <color indexed="2"/>
        <rFont val="Arial"/>
      </rPr>
      <t>начало</t>
    </r>
    <r>
      <rPr>
        <b/>
        <sz val="10"/>
        <color theme="1"/>
        <rFont val="Arial"/>
      </rPr>
      <t xml:space="preserve"> месяца</t>
    </r>
    <r>
      <rPr>
        <sz val="10"/>
        <color theme="1"/>
        <rFont val="Arial"/>
      </rPr>
      <t xml:space="preserve">
 </t>
    </r>
    <r>
      <rPr>
        <i/>
        <sz val="7"/>
        <color theme="1"/>
        <rFont val="Arial"/>
      </rPr>
      <t xml:space="preserve">(текущее кол-во сотрудников в продажах, с учетом руководителя про продажам в МР и УП)</t>
    </r>
  </si>
  <si>
    <t xml:space="preserve">План набора </t>
  </si>
  <si>
    <t xml:space="preserve">Приступили к работе </t>
  </si>
  <si>
    <t xml:space="preserve">Ждем выхода</t>
  </si>
  <si>
    <r>
      <rPr>
        <b/>
        <sz val="10"/>
        <color theme="1"/>
        <rFont val="Arial"/>
      </rPr>
      <t xml:space="preserve">ФАКТ  на </t>
    </r>
    <r>
      <rPr>
        <b/>
        <sz val="10"/>
        <color indexed="2"/>
        <rFont val="Arial"/>
      </rPr>
      <t>конец</t>
    </r>
    <r>
      <rPr>
        <b/>
        <sz val="10"/>
        <color theme="1"/>
        <rFont val="Arial"/>
      </rPr>
      <t xml:space="preserve"> месяца
</t>
    </r>
    <r>
      <rPr>
        <b val="false"/>
        <i/>
        <sz val="7"/>
        <color theme="1"/>
        <rFont val="Arial"/>
      </rPr>
      <t xml:space="preserve"> (текущее кол-во сотрудников в продажах, с учетом руководителя про продажам в МР и УП)</t>
    </r>
  </si>
  <si>
    <t xml:space="preserve">Недобор  план-факт месяца /чел</t>
  </si>
  <si>
    <t>Увольнения</t>
  </si>
  <si>
    <t>проработал</t>
  </si>
  <si>
    <t>причина</t>
  </si>
  <si>
    <t xml:space="preserve">Сорокин Сергей</t>
  </si>
  <si>
    <t xml:space="preserve">4 мес</t>
  </si>
  <si>
    <t xml:space="preserve">Наша инициатива, не выходит на нужные показатели, слаб как продаждник, не поддается воспитанию</t>
  </si>
  <si>
    <t xml:space="preserve">Каюмов Ринат</t>
  </si>
  <si>
    <t xml:space="preserve">4 месяца</t>
  </si>
  <si>
    <t xml:space="preserve">по состоянию здоровья переезжает в другой город. На уверенный результат так и не вышел</t>
  </si>
  <si>
    <t xml:space="preserve">6 месяцев</t>
  </si>
  <si>
    <t xml:space="preserve">по состоянию здоровья, устала от холодных звонков</t>
  </si>
  <si>
    <t xml:space="preserve">Гаврилова Юлия</t>
  </si>
  <si>
    <t xml:space="preserve">11 месяцев</t>
  </si>
  <si>
    <t xml:space="preserve">Инициатива работника, решила сменить направления в продажах</t>
  </si>
  <si>
    <t xml:space="preserve">Агафонов Дмитрий</t>
  </si>
  <si>
    <t xml:space="preserve">2 месяца</t>
  </si>
  <si>
    <t xml:space="preserve">Не вышел на показатели, не справился с работой, не готов к холодным звонкам</t>
  </si>
  <si>
    <t xml:space="preserve">Журбенко А.</t>
  </si>
  <si>
    <t xml:space="preserve">не вышла на планируемые объемы. Обоюдное решение с двух сторон</t>
  </si>
  <si>
    <t xml:space="preserve">Карпова М</t>
  </si>
  <si>
    <t xml:space="preserve">5,5 мес</t>
  </si>
  <si>
    <t xml:space="preserve">Звягина А.</t>
  </si>
  <si>
    <t xml:space="preserve">3,5 мес</t>
  </si>
  <si>
    <t xml:space="preserve">Банникова Анна</t>
  </si>
  <si>
    <t xml:space="preserve">7 месяцев (с 09.06.2021)</t>
  </si>
  <si>
    <t xml:space="preserve">усталость от невыстроенных процессов компании, от того, что процесс привлечения ИМ долгий, а проблемы начинаются уже на первых тестовых отправках и после ИМ уже не хочет продолжать работать. К моменту когда ИМ вышел на хорошие объемы его уже нужно отдавать на сопровождение = он уходит из мотивации. После большого объема января много жалоб от клиентов. Проявилось сомнение в качестве продаваемой услуги. Накопилась общая усталость от функционала холодных звонков да и продаж в целом</t>
  </si>
  <si>
    <t xml:space="preserve">
Бессараб Юля</t>
  </si>
  <si>
    <t xml:space="preserve">1 год 2 мес.</t>
  </si>
  <si>
    <t xml:space="preserve">Не смогла выйти на желаемый доход + проблемы при тест-отправке, 2) курьерский забор в Москве, 3) Проблемы с настройками интеграции из-за чего слетали КИмы. Много времени отнимает прозвон пустых баз. большая зависимость в результате от действий смежных подразделений. Хочет попробовать себя в развитии собственного дела</t>
  </si>
  <si>
    <t xml:space="preserve">Фоминов Алексей</t>
  </si>
  <si>
    <t xml:space="preserve">5 месяцев (с 03.11.2021)</t>
  </si>
  <si>
    <t xml:space="preserve">Наша инициатива. Систематическое невыполнение плана продаж </t>
  </si>
  <si>
    <t xml:space="preserve">Азаронок  А.</t>
  </si>
  <si>
    <t xml:space="preserve">7 мес</t>
  </si>
  <si>
    <t xml:space="preserve">1.не устраивет мотивация, КИМ долго раскручиваются, 3 мес 7 % , после 3х мес -3% в итоге сумма не меняется, а далее когда идут объемы, их передают. 2. проблемы на тестовых отпрпаках . 3. несмотря на то что было более 20 регистрации ИМ в месяц, клиенты почму то нами не ехали. </t>
  </si>
  <si>
    <t xml:space="preserve">Коробцев Е. </t>
  </si>
  <si>
    <t xml:space="preserve">6 мес.</t>
  </si>
  <si>
    <t xml:space="preserve">Устал от негатива клиентов.  Много времени занимает сопровождение, поиск посылки. </t>
  </si>
  <si>
    <t xml:space="preserve">Зайнулин Е.</t>
  </si>
  <si>
    <t xml:space="preserve">2,5 мес</t>
  </si>
  <si>
    <t xml:space="preserve">Холодные продажи по телефону, не смог преодалеть барьер. Тяжело оказалось ему делать столько звонков в день и сложно продавать по телефону. </t>
  </si>
  <si>
    <t xml:space="preserve">Волчанская М.</t>
  </si>
  <si>
    <t xml:space="preserve">Не выходит на плановые значения, решение работодателя</t>
  </si>
  <si>
    <t>https://docs.google.com/spreadsheets/d/1MyS5fvdCwwR-9X1QqZgIddUPOcxJ8CSvTeJqhxbipkw/edit#gid=60667583</t>
  </si>
  <si>
    <t>АВГУСТ</t>
  </si>
  <si>
    <t>СЕНТЯБРЬ</t>
  </si>
  <si>
    <t>ОКТЯБРЬ</t>
  </si>
  <si>
    <t>Ноябрь</t>
  </si>
  <si>
    <t>Декабрь</t>
  </si>
  <si>
    <t xml:space="preserve">Плановое штатное кол-во сотрудников на 01.10</t>
  </si>
  <si>
    <t xml:space="preserve">% укомплектованности</t>
  </si>
  <si>
    <t xml:space="preserve">% текучести </t>
  </si>
  <si>
    <t xml:space="preserve">План набора на август</t>
  </si>
  <si>
    <t xml:space="preserve">Приступили к работе в августе</t>
  </si>
  <si>
    <t xml:space="preserve">План набора на сентябрь</t>
  </si>
  <si>
    <t xml:space="preserve">Приступили к работе в сентябре</t>
  </si>
  <si>
    <r>
      <rPr>
        <b/>
        <sz val="10"/>
        <color theme="1"/>
        <rFont val="Arial"/>
      </rPr>
      <t xml:space="preserve">ФАКТ  на </t>
    </r>
    <r>
      <rPr>
        <b/>
        <sz val="10"/>
        <color indexed="2"/>
        <rFont val="Arial"/>
      </rPr>
      <t>конец</t>
    </r>
    <r>
      <rPr>
        <b/>
        <sz val="10"/>
        <color theme="1"/>
        <rFont val="Arial"/>
      </rPr>
      <t xml:space="preserve"> месяца</t>
    </r>
    <r>
      <rPr>
        <sz val="10"/>
        <color theme="1"/>
        <rFont val="Arial"/>
      </rPr>
      <t xml:space="preserve">
</t>
    </r>
    <r>
      <rPr>
        <i/>
        <sz val="7"/>
        <color theme="1"/>
        <rFont val="Arial"/>
      </rPr>
      <t xml:space="preserve"> (текущее кол-во сотрудников в продажах, с учетом руководителя про продажам в МР и УП)</t>
    </r>
  </si>
  <si>
    <t xml:space="preserve">Недобор план-факт месяца/чел</t>
  </si>
  <si>
    <t xml:space="preserve">План набора на октябрь</t>
  </si>
  <si>
    <t xml:space="preserve">Приступили к работе в октябре</t>
  </si>
  <si>
    <t xml:space="preserve">ФАКТ НА ТЕКУЩУЮ ДАТУ (25.10.2021)</t>
  </si>
  <si>
    <t xml:space="preserve">План набора на ноябрь</t>
  </si>
  <si>
    <t xml:space="preserve">Приступили к работе в ноябре</t>
  </si>
  <si>
    <r>
      <rPr>
        <b/>
        <sz val="10"/>
        <color theme="1"/>
        <rFont val="Arial"/>
      </rPr>
      <t xml:space="preserve">ФАКТ  на </t>
    </r>
    <r>
      <rPr>
        <b/>
        <sz val="10"/>
        <color indexed="2"/>
        <rFont val="Arial"/>
      </rPr>
      <t>начало</t>
    </r>
    <r>
      <rPr>
        <b/>
        <sz val="10"/>
        <color theme="1"/>
        <rFont val="Arial"/>
      </rPr>
      <t xml:space="preserve"> месяца</t>
    </r>
    <r>
      <rPr>
        <sz val="10"/>
        <color theme="1"/>
        <rFont val="Arial"/>
      </rPr>
      <t xml:space="preserve">
 </t>
    </r>
    <r>
      <rPr>
        <i/>
        <sz val="7"/>
        <color theme="1"/>
        <rFont val="Arial"/>
      </rPr>
      <t xml:space="preserve">(текущее кол-во сотрудников в продажах, с учетом руководителя по продажам в МР и УП)</t>
    </r>
  </si>
  <si>
    <t xml:space="preserve">План набора на декабрь</t>
  </si>
  <si>
    <t xml:space="preserve">Приступили к работе в декабре </t>
  </si>
  <si>
    <t xml:space="preserve">Гладкова </t>
  </si>
  <si>
    <t xml:space="preserve">1 неделя</t>
  </si>
  <si>
    <t xml:space="preserve">сказала ей сложно. По факту скорее всего  - ошибка в адаптации свожу это опять к дурной системе адаптации</t>
  </si>
  <si>
    <t>Ефимова</t>
  </si>
  <si>
    <t xml:space="preserve">3 дня</t>
  </si>
  <si>
    <t xml:space="preserve">со слов работника: "непонятная, скучная адаптация."</t>
  </si>
  <si>
    <t>Чуракова</t>
  </si>
  <si>
    <t xml:space="preserve">3 месяца</t>
  </si>
  <si>
    <t xml:space="preserve">Инициатива работодателя -не выходит на необходимые показатели</t>
  </si>
  <si>
    <t>Колосова</t>
  </si>
  <si>
    <t xml:space="preserve">Инициатива работодателя -не выходит на необходимые показатели, не умеет работать по нашим правилам, слишком "вольная птица" отсбда и результат ниже среднего</t>
  </si>
  <si>
    <t xml:space="preserve">Белялова (внутр. кандидат из Подписки)</t>
  </si>
  <si>
    <t xml:space="preserve">2 мес</t>
  </si>
  <si>
    <t xml:space="preserve">не вышла на результат, демотивирована, "не мое"</t>
  </si>
  <si>
    <t>Шерстнев</t>
  </si>
  <si>
    <t xml:space="preserve">2 года</t>
  </si>
  <si>
    <t xml:space="preserve">озвучил по семейным обстоятельствам, но мы предполагаем, что он ушел в озон, там предложили оклад 60тыс</t>
  </si>
  <si>
    <t>Тихонова</t>
  </si>
  <si>
    <t>3мес</t>
  </si>
  <si>
    <t xml:space="preserve">по семейным обстоятельствам</t>
  </si>
  <si>
    <t>Решетникова</t>
  </si>
  <si>
    <t xml:space="preserve">2 недели</t>
  </si>
  <si>
    <t xml:space="preserve">не влилась, сказала не мое</t>
  </si>
  <si>
    <t>Козлова</t>
  </si>
  <si>
    <t xml:space="preserve">оффер от другой компании на лучших условиях</t>
  </si>
  <si>
    <t>Кондюрин</t>
  </si>
  <si>
    <t xml:space="preserve">1 день</t>
  </si>
  <si>
    <t xml:space="preserve">Без объяснения причин не вышел на второй день. </t>
  </si>
  <si>
    <t>Захарова</t>
  </si>
  <si>
    <t xml:space="preserve">октябрь </t>
  </si>
  <si>
    <t xml:space="preserve">10 мес. </t>
  </si>
  <si>
    <t xml:space="preserve">самый результативный наш продажник, так и не смогла выйти на свой желаемый уровень дохода 80+ При увольнении в последний месяц выполнила план 120_112-117%%, но самое максимальное что смогла заработать это неполные 50 + устала от функционала "холодных звонков"</t>
  </si>
  <si>
    <t>Хабибулина</t>
  </si>
  <si>
    <t xml:space="preserve">3 мес</t>
  </si>
  <si>
    <t xml:space="preserve">Инициатива работодателя: низкая производительность</t>
  </si>
  <si>
    <t>Янчук</t>
  </si>
  <si>
    <t xml:space="preserve">1,5 мес</t>
  </si>
  <si>
    <t xml:space="preserve">По собственной инициативе. Не устраивает уровень дохода. 
Оклад 25.000 + прогнозная премия с учетом перевыполнения за месяц 5900-6300
за 15 дней октября уже выполнение плана 87%</t>
  </si>
  <si>
    <t>Степочкина</t>
  </si>
  <si>
    <t xml:space="preserve">Не прошла и\с. Не смогла выйти на нужную производительность. увольнение по нашей инициативе</t>
  </si>
  <si>
    <t>Еньшина</t>
  </si>
  <si>
    <t xml:space="preserve">Кандидат из школы продаж. Попробовала. не получается. Огромное раздражение и сопротивление на холодные звонки. Не хочет этим заниматься. Поняла что совсем не ее.</t>
  </si>
  <si>
    <t>Завьялова</t>
  </si>
  <si>
    <t xml:space="preserve">Наш текущий сотрудник. попробовала себя и поняла что не хочет хочет заниматься "холодными" звонками, каждый раз пересиливает себя. Ушла обратно в операторы ПВЗ</t>
  </si>
  <si>
    <t xml:space="preserve">Казакова (Хантер)</t>
  </si>
  <si>
    <t xml:space="preserve">10 месяцев</t>
  </si>
  <si>
    <t xml:space="preserve">Не устраивает функционал "холодных" звонков</t>
  </si>
  <si>
    <t xml:space="preserve">Бегалин с опытом работы)</t>
  </si>
  <si>
    <t xml:space="preserve">Инициатива работодателя - личные качества, некорректное поведение по отношению к руководителю</t>
  </si>
  <si>
    <t xml:space="preserve">Канакова (новичок)</t>
  </si>
  <si>
    <t xml:space="preserve">1 месяц</t>
  </si>
  <si>
    <t xml:space="preserve">Была переведена из логистики, хотела попробывать себя в продажах, но сказала что сложо и перешла обратно</t>
  </si>
  <si>
    <t xml:space="preserve">Жаркова ( с опытом работы)</t>
  </si>
  <si>
    <t xml:space="preserve">Обоюдное желание, не выходида на нужный результат, хотя все что требуется делала</t>
  </si>
  <si>
    <t xml:space="preserve">Бахарева (новичок)</t>
  </si>
  <si>
    <t xml:space="preserve">ноябрь </t>
  </si>
  <si>
    <t xml:space="preserve">1 мес п отделе продаж, до этого 6 мес в ОО</t>
  </si>
  <si>
    <t xml:space="preserve">Перевели из ОО при сокращении сотрудников ОО, Продажи по телефону это не ее</t>
  </si>
  <si>
    <t xml:space="preserve">Плаксин ( с опытом)</t>
  </si>
  <si>
    <t xml:space="preserve">2,5 месяца</t>
  </si>
  <si>
    <t xml:space="preserve">не устроил функционал продаж и сопровождения в одном лице+не устроил уровень факт.зп</t>
  </si>
  <si>
    <t xml:space="preserve">Терентьева А.</t>
  </si>
  <si>
    <t xml:space="preserve">5  месяцев</t>
  </si>
  <si>
    <t xml:space="preserve">Инициатива работодателя -не выходит на необходимые показатели, не умеет работать по нашим правилам, слишком эмоциональная и переходит дозволенные границы общения как с РОП так и с директором УП</t>
  </si>
  <si>
    <t xml:space="preserve">Зайнуллин Евгений Зуферович</t>
  </si>
  <si>
    <t>РОП</t>
  </si>
  <si>
    <t xml:space="preserve">со слов работника: "нет возможности заработка"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</si>
</sst>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#,##0.0"/>
    <numFmt numFmtId="161" formatCode="0.0"/>
    <numFmt numFmtId="162" formatCode="d\.m\.yyyy"/>
    <numFmt numFmtId="163" formatCode="dd\.mm\.yyyy"/>
    <numFmt numFmtId="164" formatCode="d\.m"/>
    <numFmt numFmtId="165" formatCode="dd\.mm\.yy"/>
    <numFmt numFmtId="166" formatCode="dd\.mm"/>
    <numFmt numFmtId="167" formatCode="d\ mmmm"/>
  </numFmts>
  <fonts count="47">
    <font>
      <sz val="10.000000"/>
      <color indexed="64"/>
      <name val="Arial"/>
      <scheme val="minor"/>
    </font>
    <font>
      <sz val="10.000000"/>
      <color theme="1"/>
      <name val="Arial"/>
    </font>
    <font/>
    <font>
      <sz val="8.000000"/>
      <color theme="1"/>
      <name val="Arial"/>
    </font>
    <font>
      <sz val="10.000000"/>
      <color indexed="64"/>
      <name val="Arial"/>
    </font>
    <font>
      <u/>
      <color indexed="4"/>
    </font>
    <font>
      <b/>
      <sz val="20.000000"/>
      <color indexed="64"/>
      <name val="Arial"/>
    </font>
    <font>
      <b/>
      <sz val="12.000000"/>
      <color indexed="64"/>
      <name val="Arial"/>
    </font>
    <font>
      <b/>
      <sz val="14.000000"/>
      <color indexed="64"/>
      <name val="Arial"/>
    </font>
    <font>
      <b/>
      <sz val="10.000000"/>
      <color indexed="64"/>
      <name val="Arial"/>
    </font>
    <font>
      <sz val="18.000000"/>
      <color indexed="64"/>
      <name val="Arial"/>
    </font>
    <font>
      <color theme="1"/>
      <name val="Arial"/>
    </font>
    <font>
      <sz val="10.000000"/>
      <color indexed="2"/>
      <name val="Arial"/>
    </font>
    <font>
      <b/>
      <sz val="16.000000"/>
      <color indexed="64"/>
      <name val="Arial"/>
    </font>
    <font>
      <b/>
      <sz val="18.000000"/>
      <color indexed="64"/>
      <name val="Arial"/>
    </font>
    <font>
      <sz val="16.000000"/>
      <color indexed="2"/>
      <name val="Arial"/>
    </font>
    <font>
      <b/>
      <sz val="15.000000"/>
      <color theme="1"/>
      <name val="Arial"/>
    </font>
    <font>
      <sz val="24.000000"/>
      <color indexed="64"/>
      <name val="Arial"/>
    </font>
    <font>
      <color theme="1"/>
      <name val="Arial"/>
      <scheme val="minor"/>
    </font>
    <font>
      <b/>
      <sz val="11.000000"/>
      <color theme="1"/>
      <name val="Arial"/>
    </font>
    <font>
      <b/>
      <sz val="11.000000"/>
      <color indexed="64"/>
      <name val="Calibri"/>
    </font>
    <font>
      <sz val="11.000000"/>
      <color indexed="64"/>
      <name val="Calibri"/>
    </font>
    <font>
      <b/>
      <sz val="10.000000"/>
      <color theme="1"/>
      <name val="Arial"/>
    </font>
    <font>
      <b/>
      <sz val="9.000000"/>
      <color theme="1"/>
      <name val="Arial"/>
    </font>
    <font>
      <b/>
      <sz val="10.000000"/>
      <color indexed="4"/>
      <name val="Arial"/>
    </font>
    <font>
      <sz val="10.000000"/>
      <color indexed="4"/>
      <name val="Arial"/>
    </font>
    <font>
      <b/>
      <sz val="10.000000"/>
      <color indexed="2"/>
      <name val="Arial"/>
    </font>
    <font>
      <i/>
      <sz val="10.000000"/>
      <color theme="1"/>
      <name val="Arial"/>
    </font>
    <font>
      <b/>
      <i/>
      <sz val="8.000000"/>
      <color theme="1"/>
      <name val="Arial"/>
    </font>
    <font>
      <sz val="9.000000"/>
      <color rgb="FF1F1F1F"/>
      <name val="Arial"/>
    </font>
    <font>
      <b/>
      <i/>
      <sz val="10.000000"/>
      <color theme="1"/>
      <name val="Arial"/>
    </font>
    <font>
      <b/>
      <sz val="12.000000"/>
      <color theme="1"/>
      <name val="Arial"/>
    </font>
    <font>
      <i/>
      <sz val="11.000000"/>
      <color theme="1"/>
      <name val="Calibri"/>
    </font>
    <font>
      <i/>
      <sz val="11.000000"/>
      <color indexed="64"/>
      <name val="Calibri"/>
    </font>
    <font>
      <b/>
      <sz val="11.000000"/>
      <color indexed="2"/>
      <name val="Calibri"/>
    </font>
    <font>
      <sz val="11.000000"/>
      <color theme="1"/>
      <name val="Calibri"/>
    </font>
    <font>
      <b/>
      <sz val="8.000000"/>
      <color theme="1"/>
      <name val="Arial"/>
    </font>
    <font>
      <b/>
      <sz val="9.000000"/>
      <color indexed="4"/>
      <name val="Arial"/>
    </font>
    <font>
      <b/>
      <sz val="8.000000"/>
      <color indexed="4"/>
      <name val="Arial"/>
    </font>
    <font>
      <b/>
      <sz val="8.000000"/>
      <color indexed="2"/>
      <name val="Arial"/>
    </font>
    <font>
      <b/>
      <sz val="9.000000"/>
      <color indexed="2"/>
      <name val="Arial"/>
    </font>
    <font>
      <b/>
      <sz val="11.000000"/>
      <color indexed="2"/>
      <name val="Arial"/>
    </font>
    <font>
      <i/>
      <sz val="10.000000"/>
      <color indexed="4"/>
      <name val="Arial"/>
    </font>
    <font>
      <u/>
      <sz val="10.000000"/>
      <color indexed="4"/>
      <name val="Arial"/>
    </font>
    <font>
      <b/>
      <sz val="10.000000"/>
      <color rgb="FFEA4335"/>
      <name val="Arial"/>
    </font>
    <font>
      <i/>
      <sz val="10.000000"/>
      <color indexed="2"/>
      <name val="Arial"/>
    </font>
    <font>
      <b/>
      <sz val="10.000000"/>
      <color rgb="FFEA9999"/>
      <name val="Arial"/>
    </font>
  </fonts>
  <fills count="28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theme="9"/>
        <bgColor theme="9"/>
      </patternFill>
    </fill>
    <fill>
      <patternFill patternType="solid">
        <fgColor theme="7"/>
        <bgColor theme="7"/>
      </patternFill>
    </fill>
    <fill>
      <patternFill patternType="solid">
        <fgColor rgb="FFD2F1DA"/>
        <bgColor rgb="FFD2F1DA"/>
      </patternFill>
    </fill>
    <fill>
      <patternFill patternType="solid">
        <fgColor rgb="FFD9F1F3"/>
        <bgColor rgb="FFD9F1F3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6AA84F"/>
        <bgColor rgb="FF6AA84F"/>
      </patternFill>
    </fill>
    <fill>
      <patternFill patternType="solid">
        <fgColor rgb="FFD8D8D8"/>
        <bgColor rgb="FFD8D8D8"/>
      </patternFill>
    </fill>
    <fill>
      <patternFill patternType="solid">
        <fgColor rgb="FFFAD9D6"/>
        <bgColor rgb="FFFAD9D6"/>
      </patternFill>
    </fill>
    <fill>
      <patternFill patternType="solid">
        <fgColor rgb="FFF6B3AE"/>
        <bgColor rgb="FFF6B3AE"/>
      </patternFill>
    </fill>
    <fill>
      <patternFill patternType="solid">
        <fgColor rgb="FFF8CBAD"/>
        <bgColor rgb="FFF8CBAD"/>
      </patternFill>
    </fill>
    <fill>
      <patternFill patternType="solid">
        <fgColor rgb="FFDDEBF7"/>
        <bgColor rgb="FFDDEBF7"/>
      </patternFill>
    </fill>
    <fill>
      <patternFill patternType="solid">
        <fgColor rgb="FFFFE699"/>
        <bgColor rgb="FFFFE699"/>
      </patternFill>
    </fill>
    <fill>
      <patternFill patternType="solid">
        <fgColor rgb="FFD9D2E9"/>
        <bgColor rgb="FFD9D2E9"/>
      </patternFill>
    </fill>
    <fill>
      <patternFill patternType="solid">
        <fgColor rgb="FFB7E1CD"/>
        <bgColor rgb="FFB7E1CD"/>
      </patternFill>
    </fill>
    <fill>
      <patternFill patternType="solid">
        <fgColor indexed="65"/>
        <bgColor indexed="65"/>
      </patternFill>
    </fill>
    <fill>
      <patternFill patternType="solid">
        <fgColor indexed="4"/>
        <bgColor indexed="4"/>
      </patternFill>
    </fill>
    <fill>
      <patternFill patternType="solid">
        <fgColor indexed="3"/>
        <bgColor indexed="3"/>
      </patternFill>
    </fill>
    <fill>
      <patternFill patternType="solid">
        <fgColor indexed="52"/>
        <bgColor indexed="52"/>
      </patternFill>
    </fill>
    <fill>
      <patternFill patternType="solid">
        <fgColor indexed="2"/>
        <bgColor indexed="2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CE5CD"/>
        <bgColor rgb="FFFCE5CD"/>
      </patternFill>
    </fill>
    <fill>
      <patternFill patternType="solid">
        <fgColor rgb="FFEA9999"/>
        <bgColor rgb="FFEA9999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ck">
        <color indexed="64"/>
      </left>
      <right style="none"/>
      <top style="thick">
        <color indexed="64"/>
      </top>
      <bottom style="none"/>
      <diagonal style="none"/>
    </border>
    <border>
      <left style="none"/>
      <right style="thick">
        <color indexed="64"/>
      </right>
      <top style="thick">
        <color indexed="64"/>
      </top>
      <bottom style="none"/>
      <diagonal style="none"/>
    </border>
    <border>
      <left style="none"/>
      <right style="none"/>
      <top style="thick">
        <color indexed="64"/>
      </top>
      <bottom style="none"/>
      <diagonal style="none"/>
    </border>
    <border>
      <left style="thick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ck">
        <color indexed="64"/>
      </right>
      <top style="thin">
        <color indexed="64"/>
      </top>
      <bottom style="thin">
        <color indexed="64"/>
      </bottom>
      <diagonal style="none"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none"/>
    </border>
    <border>
      <left style="thick">
        <color indexed="64"/>
      </left>
      <right style="none"/>
      <top style="none"/>
      <bottom style="none"/>
      <diagonal style="none"/>
    </border>
    <border>
      <left style="none"/>
      <right style="thick">
        <color indexed="64"/>
      </right>
      <top style="none"/>
      <bottom style="none"/>
      <diagonal style="none"/>
    </border>
    <border>
      <left style="thick">
        <color indexed="64"/>
      </left>
      <right style="none"/>
      <top style="thick">
        <color indexed="64"/>
      </top>
      <bottom style="thin">
        <color indexed="64"/>
      </bottom>
      <diagonal style="none"/>
    </border>
    <border>
      <left style="none"/>
      <right style="none"/>
      <top style="thick">
        <color indexed="64"/>
      </top>
      <bottom style="thin">
        <color indexed="64"/>
      </bottom>
      <diagonal style="none"/>
    </border>
    <border>
      <left style="none"/>
      <right style="thick">
        <color indexed="64"/>
      </right>
      <top style="thick">
        <color indexed="64"/>
      </top>
      <bottom style="thin">
        <color indexed="64"/>
      </bottom>
      <diagonal style="none"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none"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none"/>
    </border>
    <border>
      <left style="thick">
        <color indexed="64"/>
      </left>
      <right style="thin">
        <color indexed="64"/>
      </right>
      <top style="thick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none"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 style="none"/>
    </border>
    <border>
      <left style="thick">
        <color indexed="64"/>
      </left>
      <right style="thin">
        <color indexed="64"/>
      </right>
      <top style="none"/>
      <bottom style="none"/>
      <diagonal style="none"/>
    </border>
    <border>
      <left style="thick">
        <color indexed="64"/>
      </left>
      <right style="thin">
        <color indexed="64"/>
      </right>
      <top style="none"/>
      <bottom style="thick">
        <color indexed="64"/>
      </bottom>
      <diagonal style="none"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 style="none"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none"/>
    </border>
    <border>
      <left style="thin">
        <color indexed="64"/>
      </left>
      <right style="thin">
        <color indexed="64"/>
      </right>
      <top style="thick">
        <color indexed="64"/>
      </top>
      <bottom style="none"/>
      <diagonal style="none"/>
    </border>
    <border>
      <left style="thin">
        <color indexed="64"/>
      </left>
      <right style="thick">
        <color indexed="64"/>
      </right>
      <top style="thick">
        <color indexed="64"/>
      </top>
      <bottom style="none"/>
      <diagonal style="none"/>
    </border>
    <border>
      <left style="thin">
        <color indexed="64"/>
      </left>
      <right style="thick">
        <color indexed="64"/>
      </right>
      <top style="thin">
        <color indexed="64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378">
    <xf fontId="0" fillId="0" borderId="0" numFmtId="0" xfId="0"/>
    <xf fontId="1" fillId="0" borderId="0" numFmtId="0" xfId="0" applyFont="1"/>
    <xf fontId="1" fillId="2" borderId="1" numFmtId="0" xfId="0" applyFont="1" applyFill="1" applyBorder="1"/>
    <xf fontId="1" fillId="2" borderId="2" numFmtId="0" xfId="0" applyFont="1" applyFill="1" applyBorder="1"/>
    <xf fontId="1" fillId="2" borderId="3" numFmtId="0" xfId="0" applyFont="1" applyFill="1" applyBorder="1"/>
    <xf fontId="2" fillId="0" borderId="4" numFmtId="0" xfId="0" applyFont="1" applyBorder="1"/>
    <xf fontId="2" fillId="0" borderId="5" numFmtId="0" xfId="0" applyFont="1" applyBorder="1"/>
    <xf fontId="1" fillId="0" borderId="0" numFmtId="0" xfId="0" applyFont="1" applyAlignment="1">
      <alignment horizontal="center" wrapText="1"/>
    </xf>
    <xf fontId="2" fillId="0" borderId="6" numFmtId="0" xfId="0" applyFont="1" applyBorder="1"/>
    <xf fontId="3" fillId="2" borderId="2" numFmtId="0" xfId="0" applyFont="1" applyFill="1" applyBorder="1" applyAlignment="1">
      <alignment horizontal="center" wrapText="1"/>
    </xf>
    <xf fontId="3" fillId="0" borderId="0" numFmtId="0" xfId="0" applyFont="1" applyAlignment="1">
      <alignment horizontal="center" wrapText="1"/>
    </xf>
    <xf fontId="1" fillId="0" borderId="2" numFmtId="0" xfId="0" applyFont="1" applyBorder="1"/>
    <xf fontId="1" fillId="0" borderId="2" numFmtId="0" xfId="0" applyFont="1" applyBorder="1" applyAlignment="1">
      <alignment horizontal="center"/>
    </xf>
    <xf fontId="1" fillId="3" borderId="2" numFmtId="0" xfId="0" applyFont="1" applyFill="1" applyBorder="1"/>
    <xf fontId="4" fillId="0" borderId="0" numFmtId="0" xfId="0" applyFont="1" applyAlignment="1">
      <alignment wrapText="1"/>
    </xf>
    <xf fontId="5" fillId="0" borderId="0" numFmtId="0" xfId="0" applyFont="1"/>
    <xf fontId="6" fillId="0" borderId="0" numFmtId="0" xfId="0" applyFont="1"/>
    <xf fontId="7" fillId="4" borderId="0" numFmtId="0" xfId="0" applyFont="1" applyFill="1"/>
    <xf fontId="8" fillId="0" borderId="0" numFmtId="0" xfId="0" applyFont="1"/>
    <xf fontId="4" fillId="0" borderId="0" numFmtId="0" xfId="0" applyFont="1"/>
    <xf fontId="9" fillId="0" borderId="0" numFmtId="0" xfId="0" applyFont="1"/>
    <xf fontId="9" fillId="0" borderId="0" numFmtId="0" xfId="0" applyFont="1" applyAlignment="1">
      <alignment wrapText="1"/>
    </xf>
    <xf fontId="10" fillId="5" borderId="0" numFmtId="0" xfId="0" applyFont="1" applyFill="1"/>
    <xf fontId="4" fillId="6" borderId="0" numFmtId="0" xfId="0" applyFont="1" applyFill="1" applyAlignment="1">
      <alignment wrapText="1"/>
    </xf>
    <xf fontId="9" fillId="6" borderId="0" numFmtId="0" xfId="0" applyFont="1" applyFill="1" applyAlignment="1">
      <alignment wrapText="1"/>
    </xf>
    <xf fontId="4" fillId="6" borderId="0" numFmtId="0" xfId="0" applyFont="1" applyFill="1"/>
    <xf fontId="11" fillId="0" borderId="0" numFmtId="0" xfId="0" applyFont="1"/>
    <xf fontId="4" fillId="7" borderId="0" numFmtId="0" xfId="0" applyFont="1" applyFill="1" applyAlignment="1">
      <alignment wrapText="1"/>
    </xf>
    <xf fontId="4" fillId="7" borderId="0" numFmtId="0" xfId="0" applyFont="1" applyFill="1"/>
    <xf fontId="12" fillId="7" borderId="0" numFmtId="0" xfId="0" applyFont="1" applyFill="1"/>
    <xf fontId="12" fillId="6" borderId="0" numFmtId="0" xfId="0" applyFont="1" applyFill="1"/>
    <xf fontId="4" fillId="0" borderId="0" numFmtId="1" xfId="0" applyNumberFormat="1" applyFont="1"/>
    <xf fontId="4" fillId="8" borderId="0" numFmtId="0" xfId="0" applyFont="1" applyFill="1" applyAlignment="1">
      <alignment wrapText="1"/>
    </xf>
    <xf fontId="4" fillId="8" borderId="0" numFmtId="0" xfId="0" applyFont="1" applyFill="1"/>
    <xf fontId="12" fillId="8" borderId="0" numFmtId="0" xfId="0" applyFont="1" applyFill="1"/>
    <xf fontId="4" fillId="9" borderId="0" numFmtId="0" xfId="0" applyFont="1" applyFill="1" applyAlignment="1">
      <alignment wrapText="1"/>
    </xf>
    <xf fontId="12" fillId="0" borderId="0" numFmtId="0" xfId="0" applyFont="1"/>
    <xf fontId="13" fillId="0" borderId="0" numFmtId="0" xfId="0" applyFont="1"/>
    <xf fontId="14" fillId="0" borderId="0" numFmtId="0" xfId="0" applyFont="1"/>
    <xf fontId="15" fillId="0" borderId="0" numFmtId="0" xfId="0" applyFont="1"/>
    <xf fontId="16" fillId="10" borderId="0" numFmtId="0" xfId="0" applyFont="1" applyFill="1"/>
    <xf fontId="17" fillId="0" borderId="0" numFmtId="0" xfId="0" applyFont="1"/>
    <xf fontId="17" fillId="6" borderId="0" numFmtId="0" xfId="0" applyFont="1" applyFill="1"/>
    <xf fontId="17" fillId="0" borderId="0" numFmtId="0" xfId="0" applyFont="1"/>
    <xf fontId="17" fillId="11" borderId="0" numFmtId="10" xfId="0" applyNumberFormat="1" applyFont="1" applyFill="1"/>
    <xf fontId="4" fillId="12" borderId="0" numFmtId="0" xfId="0" applyFont="1" applyFill="1"/>
    <xf fontId="18" fillId="8" borderId="0" numFmtId="0" xfId="0" applyFont="1" applyFill="1"/>
    <xf fontId="18" fillId="0" borderId="0" numFmtId="0" xfId="0" applyFont="1"/>
    <xf fontId="18" fillId="0" borderId="0" numFmtId="0" xfId="0" applyFont="1" applyAlignment="1">
      <alignment wrapText="1"/>
    </xf>
    <xf fontId="7" fillId="0" borderId="0" numFmtId="0" xfId="0" applyFont="1"/>
    <xf fontId="18" fillId="0" borderId="0" numFmtId="0" xfId="0" applyFont="1"/>
    <xf fontId="4" fillId="0" borderId="0" numFmtId="0" xfId="0" applyFont="1"/>
    <xf fontId="18" fillId="0" borderId="0" numFmtId="10" xfId="0" applyNumberFormat="1" applyFont="1"/>
    <xf fontId="19" fillId="13" borderId="3" numFmtId="0" xfId="0" applyFont="1" applyFill="1" applyBorder="1" applyAlignment="1">
      <alignment horizontal="center" vertical="center" wrapText="1"/>
    </xf>
    <xf fontId="19" fillId="13" borderId="2" numFmtId="0" xfId="0" applyFont="1" applyFill="1" applyBorder="1" applyAlignment="1">
      <alignment horizontal="center" vertical="center" wrapText="1"/>
    </xf>
    <xf fontId="4" fillId="0" borderId="2" numFmtId="0" xfId="0" applyFont="1" applyBorder="1"/>
    <xf fontId="4" fillId="0" borderId="2" numFmtId="0" xfId="0" applyFont="1" applyBorder="1" applyAlignment="1">
      <alignment horizontal="center" vertical="center"/>
    </xf>
    <xf fontId="4" fillId="0" borderId="2" numFmtId="0" xfId="0" applyFont="1" applyBorder="1" applyAlignment="1">
      <alignment horizontal="center"/>
    </xf>
    <xf fontId="4" fillId="0" borderId="2" numFmtId="0" xfId="0" applyFont="1" applyBorder="1" applyAlignment="1">
      <alignment horizontal="left" vertical="center"/>
    </xf>
    <xf fontId="4" fillId="0" borderId="2" numFmtId="0" xfId="0" applyFont="1" applyBorder="1" applyAlignment="1">
      <alignment vertical="center"/>
    </xf>
    <xf fontId="19" fillId="0" borderId="2" numFmtId="0" xfId="0" applyFont="1" applyBorder="1" applyAlignment="1">
      <alignment horizontal="center"/>
    </xf>
    <xf fontId="20" fillId="14" borderId="3" numFmtId="0" xfId="0" applyFont="1" applyFill="1" applyBorder="1" applyAlignment="1">
      <alignment horizontal="center" vertical="center" wrapText="1"/>
    </xf>
    <xf fontId="20" fillId="14" borderId="2" numFmtId="0" xfId="0" applyFont="1" applyFill="1" applyBorder="1" applyAlignment="1">
      <alignment horizontal="center" vertical="center" wrapText="1"/>
    </xf>
    <xf fontId="21" fillId="15" borderId="2" numFmtId="0" xfId="0" applyFont="1" applyFill="1" applyBorder="1"/>
    <xf fontId="21" fillId="15" borderId="2" numFmtId="0" xfId="0" applyFont="1" applyFill="1" applyBorder="1" applyAlignment="1">
      <alignment horizontal="left"/>
    </xf>
    <xf fontId="21" fillId="15" borderId="2" numFmtId="0" xfId="0" applyFont="1" applyFill="1" applyBorder="1" applyAlignment="1">
      <alignment horizontal="center" vertical="center"/>
    </xf>
    <xf fontId="21" fillId="16" borderId="2" numFmtId="0" xfId="0" applyFont="1" applyFill="1" applyBorder="1"/>
    <xf fontId="21" fillId="16" borderId="2" numFmtId="0" xfId="0" applyFont="1" applyFill="1" applyBorder="1" applyAlignment="1">
      <alignment horizontal="left"/>
    </xf>
    <xf fontId="21" fillId="16" borderId="2" numFmtId="0" xfId="0" applyFont="1" applyFill="1" applyBorder="1" applyAlignment="1">
      <alignment horizontal="center" vertical="center"/>
    </xf>
    <xf fontId="21" fillId="15" borderId="2" numFmtId="0" xfId="0" applyFont="1" applyFill="1" applyBorder="1" applyAlignment="1">
      <alignment horizontal="left" vertical="center"/>
    </xf>
    <xf fontId="21" fillId="15" borderId="2" numFmtId="0" xfId="0" applyFont="1" applyFill="1" applyBorder="1" applyAlignment="1">
      <alignment vertical="center"/>
    </xf>
    <xf fontId="21" fillId="16" borderId="2" numFmtId="0" xfId="0" applyFont="1" applyFill="1" applyBorder="1" applyAlignment="1">
      <alignment horizontal="left" vertical="center"/>
    </xf>
    <xf fontId="20" fillId="0" borderId="2" numFmtId="0" xfId="0" applyFont="1" applyBorder="1" applyAlignment="1">
      <alignment horizontal="center"/>
    </xf>
    <xf fontId="21" fillId="0" borderId="2" numFmtId="0" xfId="0" applyFont="1" applyBorder="1" applyAlignment="1">
      <alignment horizontal="left"/>
    </xf>
    <xf fontId="22" fillId="17" borderId="0" numFmtId="10" xfId="0" applyNumberFormat="1" applyFont="1" applyFill="1" applyAlignment="1">
      <alignment horizontal="center" vertical="center"/>
    </xf>
    <xf fontId="22" fillId="17" borderId="0" numFmtId="0" xfId="0" applyFont="1" applyFill="1" applyAlignment="1">
      <alignment vertical="center"/>
    </xf>
    <xf fontId="22" fillId="0" borderId="3" numFmtId="0" xfId="0" applyFont="1" applyBorder="1" applyAlignment="1">
      <alignment horizontal="center"/>
    </xf>
    <xf fontId="22" fillId="0" borderId="0" numFmtId="0" xfId="0" applyFont="1"/>
    <xf fontId="2" fillId="0" borderId="0" numFmtId="0" xfId="0" applyFont="1"/>
    <xf fontId="22" fillId="17" borderId="3" numFmtId="0" xfId="0" applyFont="1" applyFill="1" applyBorder="1" applyAlignment="1">
      <alignment horizontal="center"/>
    </xf>
    <xf fontId="22" fillId="17" borderId="7" numFmtId="0" xfId="0" applyFont="1" applyFill="1" applyBorder="1" applyAlignment="1">
      <alignment horizontal="center"/>
    </xf>
    <xf fontId="2" fillId="0" borderId="8" numFmtId="0" xfId="0" applyFont="1" applyBorder="1"/>
    <xf fontId="2" fillId="0" borderId="9" numFmtId="0" xfId="0" applyFont="1" applyBorder="1"/>
    <xf fontId="22" fillId="17" borderId="8" numFmtId="0" xfId="0" applyFont="1" applyFill="1" applyBorder="1" applyAlignment="1">
      <alignment horizontal="center"/>
    </xf>
    <xf fontId="23" fillId="17" borderId="0" numFmtId="0" xfId="0" applyFont="1" applyFill="1" applyAlignment="1">
      <alignment horizontal="center"/>
    </xf>
    <xf fontId="23" fillId="18" borderId="0" numFmtId="10" xfId="0" applyNumberFormat="1" applyFont="1" applyFill="1" applyAlignment="1">
      <alignment horizontal="center"/>
    </xf>
    <xf fontId="1" fillId="17" borderId="8" numFmtId="0" xfId="0" applyFont="1" applyFill="1" applyBorder="1"/>
    <xf fontId="1" fillId="18" borderId="8" numFmtId="10" xfId="0" applyNumberFormat="1" applyFont="1" applyFill="1" applyBorder="1"/>
    <xf fontId="22" fillId="0" borderId="2" numFmtId="0" xfId="0" applyFont="1" applyBorder="1"/>
    <xf fontId="22" fillId="0" borderId="2" numFmtId="0" xfId="0" applyFont="1" applyBorder="1" applyAlignment="1">
      <alignment horizontal="center"/>
    </xf>
    <xf fontId="1" fillId="18" borderId="2" numFmtId="10" xfId="0" applyNumberFormat="1" applyFont="1" applyFill="1" applyBorder="1" applyAlignment="1">
      <alignment horizontal="center"/>
    </xf>
    <xf fontId="22" fillId="0" borderId="6" numFmtId="0" xfId="0" applyFont="1" applyBorder="1" applyAlignment="1">
      <alignment horizontal="center"/>
    </xf>
    <xf fontId="22" fillId="0" borderId="9" numFmtId="0" xfId="0" applyFont="1" applyBorder="1" applyAlignment="1">
      <alignment horizontal="center"/>
    </xf>
    <xf fontId="1" fillId="18" borderId="9" numFmtId="10" xfId="0" applyNumberFormat="1" applyFont="1" applyFill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9" numFmtId="0" xfId="0" applyFont="1" applyBorder="1" applyAlignment="1">
      <alignment horizontal="center"/>
    </xf>
    <xf fontId="1" fillId="0" borderId="0" numFmtId="0" xfId="0" applyFont="1" applyAlignment="1">
      <alignment horizontal="center"/>
    </xf>
    <xf fontId="24" fillId="0" borderId="2" numFmtId="0" xfId="0" applyFont="1" applyBorder="1"/>
    <xf fontId="24" fillId="0" borderId="2" numFmtId="1" xfId="0" applyNumberFormat="1" applyFont="1" applyBorder="1" applyAlignment="1">
      <alignment horizontal="center"/>
    </xf>
    <xf fontId="24" fillId="0" borderId="2" numFmtId="0" xfId="0" applyFont="1" applyBorder="1" applyAlignment="1">
      <alignment horizontal="center"/>
    </xf>
    <xf fontId="25" fillId="18" borderId="2" numFmtId="10" xfId="0" applyNumberFormat="1" applyFont="1" applyFill="1" applyBorder="1" applyAlignment="1">
      <alignment horizontal="center"/>
    </xf>
    <xf fontId="24" fillId="0" borderId="6" numFmtId="160" xfId="0" applyNumberFormat="1" applyFont="1" applyBorder="1" applyAlignment="1">
      <alignment horizontal="center"/>
    </xf>
    <xf fontId="24" fillId="0" borderId="9" numFmtId="0" xfId="0" applyFont="1" applyBorder="1" applyAlignment="1">
      <alignment horizontal="center"/>
    </xf>
    <xf fontId="25" fillId="18" borderId="9" numFmtId="10" xfId="0" applyNumberFormat="1" applyFont="1" applyFill="1" applyBorder="1" applyAlignment="1">
      <alignment horizontal="center"/>
    </xf>
    <xf fontId="24" fillId="0" borderId="9" numFmtId="160" xfId="0" applyNumberFormat="1" applyFont="1" applyBorder="1" applyAlignment="1">
      <alignment horizontal="center"/>
    </xf>
    <xf fontId="24" fillId="0" borderId="0" numFmtId="0" xfId="0" applyFont="1"/>
    <xf fontId="25" fillId="0" borderId="2" numFmtId="0" xfId="0" applyFont="1" applyBorder="1"/>
    <xf fontId="25" fillId="0" borderId="2" numFmtId="160" xfId="0" applyNumberFormat="1" applyFont="1" applyBorder="1" applyAlignment="1">
      <alignment horizontal="center"/>
    </xf>
    <xf fontId="25" fillId="0" borderId="2" numFmtId="0" xfId="0" applyFont="1" applyBorder="1" applyAlignment="1">
      <alignment horizontal="center"/>
    </xf>
    <xf fontId="25" fillId="0" borderId="6" numFmtId="160" xfId="0" applyNumberFormat="1" applyFont="1" applyBorder="1" applyAlignment="1">
      <alignment horizontal="center"/>
    </xf>
    <xf fontId="25" fillId="0" borderId="9" numFmtId="0" xfId="0" applyFont="1" applyBorder="1" applyAlignment="1">
      <alignment horizontal="center"/>
    </xf>
    <xf fontId="25" fillId="0" borderId="9" numFmtId="160" xfId="0" applyNumberFormat="1" applyFont="1" applyBorder="1" applyAlignment="1">
      <alignment horizontal="center"/>
    </xf>
    <xf fontId="4" fillId="19" borderId="0" numFmtId="0" xfId="0" applyFont="1" applyFill="1" applyAlignment="1">
      <alignment horizontal="left"/>
    </xf>
    <xf fontId="24" fillId="0" borderId="6" numFmtId="161" xfId="0" applyNumberFormat="1" applyFont="1" applyBorder="1" applyAlignment="1">
      <alignment horizontal="center"/>
    </xf>
    <xf fontId="26" fillId="0" borderId="2" numFmtId="0" xfId="0" applyFont="1" applyBorder="1"/>
    <xf fontId="26" fillId="0" borderId="2" numFmtId="1" xfId="0" applyNumberFormat="1" applyFont="1" applyBorder="1" applyAlignment="1">
      <alignment horizontal="center"/>
    </xf>
    <xf fontId="26" fillId="0" borderId="2" numFmtId="0" xfId="0" applyFont="1" applyBorder="1" applyAlignment="1">
      <alignment horizontal="center"/>
    </xf>
    <xf fontId="12" fillId="18" borderId="2" numFmtId="10" xfId="0" applyNumberFormat="1" applyFont="1" applyFill="1" applyBorder="1" applyAlignment="1">
      <alignment horizontal="center"/>
    </xf>
    <xf fontId="26" fillId="0" borderId="6" numFmtId="1" xfId="0" applyNumberFormat="1" applyFont="1" applyBorder="1" applyAlignment="1">
      <alignment horizontal="center"/>
    </xf>
    <xf fontId="26" fillId="0" borderId="9" numFmtId="0" xfId="0" applyFont="1" applyBorder="1" applyAlignment="1">
      <alignment horizontal="center"/>
    </xf>
    <xf fontId="12" fillId="18" borderId="9" numFmtId="10" xfId="0" applyNumberFormat="1" applyFont="1" applyFill="1" applyBorder="1" applyAlignment="1">
      <alignment horizontal="center"/>
    </xf>
    <xf fontId="26" fillId="0" borderId="9" numFmtId="160" xfId="0" applyNumberFormat="1" applyFont="1" applyBorder="1" applyAlignment="1">
      <alignment horizontal="center"/>
    </xf>
    <xf fontId="26" fillId="0" borderId="0" numFmtId="0" xfId="0" applyFont="1"/>
    <xf fontId="12" fillId="0" borderId="2" numFmtId="0" xfId="0" applyFont="1" applyBorder="1"/>
    <xf fontId="12" fillId="0" borderId="2" numFmtId="160" xfId="0" applyNumberFormat="1" applyFont="1" applyBorder="1" applyAlignment="1">
      <alignment horizontal="center"/>
    </xf>
    <xf fontId="12" fillId="0" borderId="2" numFmtId="0" xfId="0" applyFont="1" applyBorder="1" applyAlignment="1">
      <alignment horizontal="center"/>
    </xf>
    <xf fontId="12" fillId="0" borderId="6" numFmtId="160" xfId="0" applyNumberFormat="1" applyFont="1" applyBorder="1" applyAlignment="1">
      <alignment horizontal="center"/>
    </xf>
    <xf fontId="12" fillId="0" borderId="9" numFmtId="0" xfId="0" applyFont="1" applyBorder="1" applyAlignment="1">
      <alignment horizontal="center"/>
    </xf>
    <xf fontId="12" fillId="0" borderId="9" numFmtId="160" xfId="0" applyNumberFormat="1" applyFont="1" applyBorder="1" applyAlignment="1">
      <alignment horizontal="center"/>
    </xf>
    <xf fontId="1" fillId="0" borderId="6" numFmtId="0" xfId="0" applyFont="1" applyBorder="1"/>
    <xf fontId="1" fillId="0" borderId="9" numFmtId="0" xfId="0" applyFont="1" applyBorder="1"/>
    <xf fontId="27" fillId="0" borderId="2" numFmtId="0" xfId="0" applyFont="1" applyBorder="1"/>
    <xf fontId="1" fillId="0" borderId="2" numFmtId="0" xfId="0" applyFont="1" applyBorder="1" applyAlignment="1">
      <alignment horizontal="center" vertical="center"/>
    </xf>
    <xf fontId="27" fillId="0" borderId="2" numFmtId="9" xfId="0" applyNumberFormat="1" applyFont="1" applyBorder="1" applyAlignment="1">
      <alignment horizontal="center"/>
    </xf>
    <xf fontId="1" fillId="0" borderId="2" numFmtId="9" xfId="0" applyNumberFormat="1" applyFont="1" applyBorder="1" applyAlignment="1">
      <alignment horizontal="center" vertical="center"/>
    </xf>
    <xf fontId="27" fillId="0" borderId="0" numFmtId="0" xfId="0" applyFont="1"/>
    <xf fontId="1" fillId="0" borderId="0" numFmtId="0" xfId="0" applyFont="1" applyAlignment="1">
      <alignment horizontal="center" vertical="center"/>
    </xf>
    <xf fontId="24" fillId="0" borderId="6" numFmtId="0" xfId="0" applyFont="1" applyBorder="1" applyAlignment="1">
      <alignment horizontal="center"/>
    </xf>
    <xf fontId="26" fillId="0" borderId="6" numFmtId="0" xfId="0" applyFont="1" applyBorder="1" applyAlignment="1">
      <alignment horizontal="center"/>
    </xf>
    <xf fontId="12" fillId="0" borderId="6" numFmtId="0" xfId="0" applyFont="1" applyBorder="1" applyAlignment="1">
      <alignment horizontal="center"/>
    </xf>
    <xf fontId="1" fillId="18" borderId="0" numFmtId="10" xfId="0" applyNumberFormat="1" applyFont="1" applyFill="1" applyAlignment="1">
      <alignment horizontal="center"/>
    </xf>
    <xf fontId="1" fillId="18" borderId="0" numFmtId="10" xfId="0" applyNumberFormat="1" applyFont="1" applyFill="1"/>
    <xf fontId="22" fillId="0" borderId="2" numFmtId="0" xfId="0" applyFont="1" applyBorder="1" applyAlignment="1">
      <alignment wrapText="1"/>
    </xf>
    <xf fontId="28" fillId="0" borderId="2" numFmtId="0" xfId="0" applyFont="1" applyBorder="1" applyAlignment="1">
      <alignment horizontal="center" wrapText="1"/>
    </xf>
    <xf fontId="29" fillId="19" borderId="2" numFmtId="0" xfId="0" applyFont="1" applyFill="1" applyBorder="1" applyAlignment="1">
      <alignment wrapText="1"/>
    </xf>
    <xf fontId="1" fillId="0" borderId="2" numFmtId="10" xfId="0" applyNumberFormat="1" applyFont="1" applyBorder="1"/>
    <xf fontId="22" fillId="17" borderId="0" numFmtId="0" xfId="0" applyFont="1" applyFill="1" applyAlignment="1">
      <alignment horizontal="center" vertical="center"/>
    </xf>
    <xf fontId="30" fillId="17" borderId="0" numFmtId="0" xfId="0" applyFont="1" applyFill="1" applyAlignment="1">
      <alignment horizontal="center" vertical="center"/>
    </xf>
    <xf fontId="22" fillId="17" borderId="0" numFmtId="0" xfId="0" applyFont="1" applyFill="1" applyAlignment="1">
      <alignment horizontal="center" vertical="center" wrapText="1"/>
    </xf>
    <xf fontId="26" fillId="17" borderId="0" numFmtId="0" xfId="0" applyFont="1" applyFill="1" applyAlignment="1">
      <alignment horizontal="left" vertical="center"/>
    </xf>
    <xf fontId="22" fillId="17" borderId="0" numFmtId="0" xfId="0" applyFont="1" applyFill="1" applyAlignment="1">
      <alignment horizontal="left" vertical="center"/>
    </xf>
    <xf fontId="22" fillId="20" borderId="0" numFmtId="0" xfId="0" applyFont="1" applyFill="1" applyAlignment="1">
      <alignment horizontal="center" vertical="center"/>
    </xf>
    <xf fontId="27" fillId="17" borderId="0" numFmtId="0" xfId="0" applyFont="1" applyFill="1" applyAlignment="1">
      <alignment horizontal="center" vertical="center"/>
    </xf>
    <xf fontId="1" fillId="17" borderId="0" numFmtId="0" xfId="0" applyFont="1" applyFill="1" applyAlignment="1">
      <alignment horizontal="center" vertical="center"/>
    </xf>
    <xf fontId="3" fillId="17" borderId="0" numFmtId="0" xfId="0" applyFont="1" applyFill="1" applyAlignment="1">
      <alignment horizontal="center" vertical="center"/>
    </xf>
    <xf fontId="1" fillId="20" borderId="0" numFmtId="0" xfId="0" applyFont="1" applyFill="1" applyAlignment="1">
      <alignment horizontal="center" vertical="center"/>
    </xf>
    <xf fontId="31" fillId="0" borderId="2" numFmtId="0" xfId="0" applyFont="1" applyBorder="1"/>
    <xf fontId="1" fillId="0" borderId="2" numFmtId="4" xfId="0" applyNumberFormat="1" applyFont="1" applyBorder="1" applyAlignment="1">
      <alignment horizontal="center" vertical="center"/>
    </xf>
    <xf fontId="1" fillId="0" borderId="2" numFmtId="4" xfId="0" applyNumberFormat="1" applyFont="1" applyBorder="1"/>
    <xf fontId="1" fillId="20" borderId="2" numFmtId="4" xfId="0" applyNumberFormat="1" applyFont="1" applyFill="1" applyBorder="1"/>
    <xf fontId="32" fillId="0" borderId="9" numFmtId="0" xfId="0" applyFont="1" applyBorder="1" applyAlignment="1">
      <alignment horizontal="left"/>
    </xf>
    <xf fontId="1" fillId="0" borderId="1" numFmtId="0" xfId="0" applyFont="1" applyBorder="1" applyAlignment="1">
      <alignment horizontal="center" vertical="center"/>
    </xf>
    <xf fontId="1" fillId="0" borderId="1" numFmtId="4" xfId="0" applyNumberFormat="1" applyFont="1" applyBorder="1" applyAlignment="1">
      <alignment horizontal="center" vertical="center"/>
    </xf>
    <xf fontId="1" fillId="0" borderId="1" numFmtId="3" xfId="0" applyNumberFormat="1" applyFont="1" applyBorder="1" applyAlignment="1">
      <alignment horizontal="center" vertical="center"/>
    </xf>
    <xf fontId="1" fillId="3" borderId="2" numFmtId="4" xfId="0" applyNumberFormat="1" applyFont="1" applyFill="1" applyBorder="1"/>
    <xf fontId="1" fillId="0" borderId="0" numFmtId="4" xfId="0" applyNumberFormat="1" applyFont="1"/>
    <xf fontId="1" fillId="21" borderId="2" numFmtId="4" xfId="0" applyNumberFormat="1" applyFont="1" applyFill="1" applyBorder="1"/>
    <xf fontId="4" fillId="8" borderId="0" numFmtId="3" xfId="0" applyNumberFormat="1" applyFont="1" applyFill="1" applyAlignment="1">
      <alignment horizontal="center"/>
    </xf>
    <xf fontId="2" fillId="0" borderId="10" numFmtId="0" xfId="0" applyFont="1" applyBorder="1"/>
    <xf fontId="1" fillId="22" borderId="2" numFmtId="4" xfId="0" applyNumberFormat="1" applyFont="1" applyFill="1" applyBorder="1"/>
    <xf fontId="1" fillId="0" borderId="2" numFmtId="3" xfId="0" applyNumberFormat="1" applyFont="1" applyBorder="1" applyAlignment="1">
      <alignment horizontal="center" vertical="center"/>
    </xf>
    <xf fontId="32" fillId="0" borderId="2" numFmtId="0" xfId="0" applyFont="1" applyBorder="1" applyAlignment="1">
      <alignment horizontal="left"/>
    </xf>
    <xf fontId="1" fillId="23" borderId="2" numFmtId="4" xfId="0" applyNumberFormat="1" applyFont="1" applyFill="1" applyBorder="1"/>
    <xf fontId="33" fillId="19" borderId="2" numFmtId="0" xfId="0" applyFont="1" applyFill="1" applyBorder="1" applyAlignment="1">
      <alignment horizontal="left"/>
    </xf>
    <xf fontId="1" fillId="9" borderId="2" numFmtId="4" xfId="0" applyNumberFormat="1" applyFont="1" applyFill="1" applyBorder="1"/>
    <xf fontId="1" fillId="23" borderId="0" numFmtId="0" xfId="0" applyFont="1" applyFill="1" applyAlignment="1">
      <alignment horizontal="right"/>
    </xf>
    <xf fontId="1" fillId="23" borderId="2" numFmtId="0" xfId="0" applyFont="1" applyFill="1" applyBorder="1" applyAlignment="1">
      <alignment horizontal="right"/>
    </xf>
    <xf fontId="1" fillId="0" borderId="0" numFmtId="0" xfId="0" applyFont="1" applyAlignment="1">
      <alignment horizontal="right"/>
    </xf>
    <xf fontId="1" fillId="21" borderId="2" numFmtId="4" xfId="0" applyNumberFormat="1" applyFont="1" applyFill="1" applyBorder="1" applyAlignment="1">
      <alignment horizontal="right"/>
    </xf>
    <xf fontId="1" fillId="0" borderId="2" numFmtId="4" xfId="0" applyNumberFormat="1" applyFont="1" applyBorder="1" applyAlignment="1">
      <alignment horizontal="right"/>
    </xf>
    <xf fontId="1" fillId="20" borderId="2" numFmtId="4" xfId="0" applyNumberFormat="1" applyFont="1" applyFill="1" applyBorder="1" applyAlignment="1">
      <alignment horizontal="right"/>
    </xf>
    <xf fontId="1" fillId="23" borderId="2" numFmtId="4" xfId="0" applyNumberFormat="1" applyFont="1" applyFill="1" applyBorder="1" applyAlignment="1">
      <alignment horizontal="right"/>
    </xf>
    <xf fontId="33" fillId="19" borderId="0" numFmtId="0" xfId="0" applyFont="1" applyFill="1" applyAlignment="1">
      <alignment horizontal="left"/>
    </xf>
    <xf fontId="22" fillId="0" borderId="2" numFmtId="4" xfId="0" applyNumberFormat="1" applyFont="1" applyBorder="1"/>
    <xf fontId="22" fillId="3" borderId="2" numFmtId="4" xfId="0" applyNumberFormat="1" applyFont="1" applyFill="1" applyBorder="1"/>
    <xf fontId="22" fillId="9" borderId="2" numFmtId="4" xfId="0" applyNumberFormat="1" applyFont="1" applyFill="1" applyBorder="1"/>
    <xf fontId="22" fillId="23" borderId="2" numFmtId="4" xfId="0" applyNumberFormat="1" applyFont="1" applyFill="1" applyBorder="1"/>
    <xf fontId="22" fillId="21" borderId="2" numFmtId="4" xfId="0" applyNumberFormat="1" applyFont="1" applyFill="1" applyBorder="1"/>
    <xf fontId="1" fillId="0" borderId="0" numFmtId="3" xfId="0" applyNumberFormat="1" applyFont="1" applyAlignment="1">
      <alignment horizontal="center" vertical="center"/>
    </xf>
    <xf fontId="4" fillId="0" borderId="0" numFmtId="3" xfId="0" applyNumberFormat="1" applyFont="1"/>
    <xf fontId="34" fillId="0" borderId="0" numFmtId="0" xfId="0" applyFont="1" applyAlignment="1">
      <alignment horizontal="center" vertical="center"/>
    </xf>
    <xf fontId="34" fillId="0" borderId="0" numFmtId="0" xfId="0" applyFont="1" applyAlignment="1">
      <alignment horizontal="center"/>
    </xf>
    <xf fontId="26" fillId="19" borderId="0" numFmtId="0" xfId="0" applyFont="1" applyFill="1"/>
    <xf fontId="1" fillId="0" borderId="11" numFmtId="4" xfId="0" applyNumberFormat="1" applyFont="1" applyBorder="1" applyAlignment="1">
      <alignment horizontal="center"/>
    </xf>
    <xf fontId="1" fillId="0" borderId="12" numFmtId="4" xfId="0" applyNumberFormat="1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1" fillId="0" borderId="13" numFmtId="4" xfId="0" applyNumberFormat="1" applyFont="1" applyBorder="1" applyAlignment="1">
      <alignment horizontal="center"/>
    </xf>
    <xf fontId="21" fillId="0" borderId="0" numFmtId="0" xfId="0" applyFont="1" applyAlignment="1">
      <alignment horizontal="center"/>
    </xf>
    <xf fontId="21" fillId="0" borderId="2" numFmtId="0" xfId="0" applyFont="1" applyBorder="1" applyAlignment="1">
      <alignment horizontal="center"/>
    </xf>
    <xf fontId="35" fillId="0" borderId="2" numFmtId="0" xfId="0" applyFont="1" applyBorder="1" applyAlignment="1">
      <alignment horizontal="left"/>
    </xf>
    <xf fontId="1" fillId="0" borderId="3" numFmtId="0" xfId="0" applyFont="1" applyBorder="1" applyAlignment="1">
      <alignment horizontal="center"/>
    </xf>
    <xf fontId="1" fillId="0" borderId="14" numFmtId="4" xfId="0" applyNumberFormat="1" applyFont="1" applyBorder="1" applyAlignment="1">
      <alignment horizontal="center"/>
    </xf>
    <xf fontId="2" fillId="0" borderId="15" numFmtId="0" xfId="0" applyFont="1" applyBorder="1"/>
    <xf fontId="1" fillId="0" borderId="4" numFmtId="4" xfId="0" applyNumberFormat="1" applyFont="1" applyBorder="1" applyAlignment="1">
      <alignment horizontal="center"/>
    </xf>
    <xf fontId="1" fillId="0" borderId="16" numFmtId="4" xfId="0" applyNumberFormat="1" applyFont="1" applyBorder="1" applyAlignment="1">
      <alignment horizontal="center"/>
    </xf>
    <xf fontId="1" fillId="0" borderId="5" numFmtId="4" xfId="0" applyNumberFormat="1" applyFont="1" applyBorder="1" applyAlignment="1">
      <alignment horizontal="center"/>
    </xf>
    <xf fontId="21" fillId="0" borderId="0" numFmtId="0" xfId="0" applyFont="1" applyAlignment="1">
      <alignment horizontal="center" vertical="center" wrapText="1"/>
    </xf>
    <xf fontId="21" fillId="0" borderId="0" numFmtId="0" xfId="0" applyFont="1" applyAlignment="1">
      <alignment horizontal="left" vertical="center" wrapText="1"/>
    </xf>
    <xf fontId="35" fillId="0" borderId="0" numFmtId="0" xfId="0" applyFont="1" applyAlignment="1">
      <alignment horizontal="left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16" numFmtId="0" xfId="0" applyFont="1" applyBorder="1" applyAlignment="1">
      <alignment horizontal="center" vertical="center" wrapText="1"/>
    </xf>
    <xf fontId="1" fillId="0" borderId="17" numFmtId="4" xfId="0" applyNumberFormat="1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1" fillId="0" borderId="3" numFmtId="4" xfId="0" applyNumberFormat="1" applyFont="1" applyBorder="1" applyAlignment="1">
      <alignment horizontal="center" vertical="center" wrapText="1"/>
    </xf>
    <xf fontId="36" fillId="0" borderId="5" numFmtId="0" xfId="0" applyFont="1" applyBorder="1" applyAlignment="1">
      <alignment horizontal="center" vertical="center" wrapText="1"/>
    </xf>
    <xf fontId="22" fillId="0" borderId="17" numFmtId="4" xfId="0" applyNumberFormat="1" applyFont="1" applyBorder="1" applyAlignment="1">
      <alignment horizontal="center" vertical="center" wrapText="1"/>
    </xf>
    <xf fontId="35" fillId="0" borderId="9" numFmtId="0" xfId="0" applyFont="1" applyBorder="1" applyAlignment="1">
      <alignment horizontal="left"/>
    </xf>
    <xf fontId="1" fillId="0" borderId="2" numFmtId="162" xfId="0" applyNumberFormat="1" applyFont="1" applyBorder="1"/>
    <xf fontId="1" fillId="0" borderId="16" numFmtId="0" xfId="0" applyFont="1" applyBorder="1" applyAlignment="1">
      <alignment horizontal="center"/>
    </xf>
    <xf fontId="1" fillId="0" borderId="17" numFmtId="4" xfId="0" applyNumberFormat="1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3" numFmtId="4" xfId="0" applyNumberFormat="1" applyFont="1" applyBorder="1" applyAlignment="1">
      <alignment horizontal="center"/>
    </xf>
    <xf fontId="1" fillId="3" borderId="16" numFmtId="0" xfId="0" applyFont="1" applyFill="1" applyBorder="1" applyAlignment="1">
      <alignment horizontal="center"/>
    </xf>
    <xf fontId="1" fillId="3" borderId="17" numFmtId="4" xfId="0" applyNumberFormat="1" applyFont="1" applyFill="1" applyBorder="1" applyAlignment="1">
      <alignment horizontal="center"/>
    </xf>
    <xf fontId="1" fillId="3" borderId="4" numFmtId="0" xfId="0" applyFont="1" applyFill="1" applyBorder="1" applyAlignment="1">
      <alignment horizontal="center"/>
    </xf>
    <xf fontId="1" fillId="0" borderId="2" numFmtId="163" xfId="0" applyNumberFormat="1" applyFont="1" applyBorder="1"/>
    <xf fontId="1" fillId="0" borderId="2" numFmtId="163" xfId="0" applyNumberFormat="1" applyFont="1" applyBorder="1" applyAlignment="1">
      <alignment horizontal="center"/>
    </xf>
    <xf fontId="1" fillId="3" borderId="5" numFmtId="0" xfId="0" applyFont="1" applyFill="1" applyBorder="1" applyAlignment="1">
      <alignment horizontal="center"/>
    </xf>
    <xf fontId="1" fillId="3" borderId="3" numFmtId="4" xfId="0" applyNumberFormat="1" applyFont="1" applyFill="1" applyBorder="1" applyAlignment="1">
      <alignment horizontal="center"/>
    </xf>
    <xf fontId="1" fillId="0" borderId="4" numFmtId="0" xfId="0" applyFont="1" applyBorder="1" applyAlignment="1">
      <alignment horizontal="center"/>
    </xf>
    <xf fontId="1" fillId="0" borderId="2" numFmtId="0" xfId="0" applyFont="1" applyBorder="1" applyAlignment="1">
      <alignment horizontal="left"/>
    </xf>
    <xf fontId="35" fillId="8" borderId="9" numFmtId="0" xfId="0" applyFont="1" applyFill="1" applyBorder="1" applyAlignment="1">
      <alignment horizontal="left"/>
    </xf>
    <xf fontId="21" fillId="0" borderId="9" numFmtId="163" xfId="0" applyNumberFormat="1" applyFont="1" applyBorder="1"/>
    <xf fontId="1" fillId="0" borderId="2" numFmtId="162" xfId="0" applyNumberFormat="1" applyFont="1" applyBorder="1" applyAlignment="1">
      <alignment horizontal="center"/>
    </xf>
    <xf fontId="21" fillId="0" borderId="6" numFmtId="0" xfId="0" applyFont="1" applyBorder="1" applyAlignment="1">
      <alignment horizontal="left"/>
    </xf>
    <xf fontId="22" fillId="3" borderId="16" numFmtId="0" xfId="0" applyFont="1" applyFill="1" applyBorder="1" applyAlignment="1">
      <alignment horizontal="center"/>
    </xf>
    <xf fontId="22" fillId="0" borderId="18" numFmtId="4" xfId="0" applyNumberFormat="1" applyFont="1" applyBorder="1" applyAlignment="1">
      <alignment horizontal="center"/>
    </xf>
    <xf fontId="1" fillId="0" borderId="19" numFmtId="4" xfId="0" applyNumberFormat="1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37" fillId="0" borderId="17" numFmtId="0" xfId="0" applyFont="1" applyBorder="1" applyAlignment="1">
      <alignment horizontal="center"/>
    </xf>
    <xf fontId="1" fillId="0" borderId="18" numFmtId="4" xfId="0" applyNumberFormat="1" applyFont="1" applyBorder="1" applyAlignment="1">
      <alignment horizontal="center"/>
    </xf>
    <xf fontId="1" fillId="0" borderId="0" numFmtId="4" xfId="0" applyNumberFormat="1" applyFont="1" applyAlignment="1">
      <alignment horizontal="center"/>
    </xf>
    <xf fontId="24" fillId="0" borderId="0" numFmtId="0" xfId="0" applyFont="1" applyAlignment="1">
      <alignment horizontal="center"/>
    </xf>
    <xf fontId="24" fillId="0" borderId="18" numFmtId="4" xfId="0" applyNumberFormat="1" applyFont="1" applyBorder="1" applyAlignment="1">
      <alignment horizontal="center"/>
    </xf>
    <xf fontId="24" fillId="0" borderId="19" numFmtId="4" xfId="0" applyNumberFormat="1" applyFont="1" applyBorder="1" applyAlignment="1">
      <alignment horizontal="center"/>
    </xf>
    <xf fontId="24" fillId="0" borderId="19" numFmtId="0" xfId="0" applyFont="1" applyBorder="1" applyAlignment="1">
      <alignment horizontal="center"/>
    </xf>
    <xf fontId="24" fillId="0" borderId="0" numFmtId="4" xfId="0" applyNumberFormat="1" applyFont="1" applyAlignment="1">
      <alignment horizontal="center"/>
    </xf>
    <xf fontId="38" fillId="0" borderId="0" numFmtId="0" xfId="0" applyFont="1"/>
    <xf fontId="24" fillId="0" borderId="16" numFmtId="4" xfId="0" applyNumberFormat="1" applyFont="1" applyBorder="1" applyAlignment="1">
      <alignment horizontal="center"/>
    </xf>
    <xf fontId="37" fillId="0" borderId="17" numFmtId="4" xfId="0" applyNumberFormat="1" applyFont="1" applyBorder="1" applyAlignment="1">
      <alignment horizontal="center"/>
    </xf>
    <xf fontId="24" fillId="24" borderId="16" numFmtId="4" xfId="0" applyNumberFormat="1" applyFont="1" applyFill="1" applyBorder="1" applyAlignment="1">
      <alignment horizontal="center"/>
    </xf>
    <xf fontId="37" fillId="24" borderId="17" numFmtId="0" xfId="0" applyFont="1" applyFill="1" applyBorder="1" applyAlignment="1">
      <alignment horizontal="center"/>
    </xf>
    <xf fontId="37" fillId="24" borderId="17" numFmtId="4" xfId="0" applyNumberFormat="1" applyFont="1" applyFill="1" applyBorder="1" applyAlignment="1">
      <alignment horizontal="center"/>
    </xf>
    <xf fontId="24" fillId="24" borderId="17" numFmtId="4" xfId="0" applyNumberFormat="1" applyFont="1" applyFill="1" applyBorder="1" applyAlignment="1">
      <alignment horizontal="center"/>
    </xf>
    <xf fontId="24" fillId="0" borderId="4" numFmtId="4" xfId="0" applyNumberFormat="1" applyFont="1" applyBorder="1" applyAlignment="1">
      <alignment horizontal="center"/>
    </xf>
    <xf fontId="36" fillId="0" borderId="0" numFmtId="0" xfId="0" applyFont="1"/>
    <xf fontId="37" fillId="0" borderId="17" numFmtId="10" xfId="0" applyNumberFormat="1" applyFont="1" applyBorder="1" applyAlignment="1">
      <alignment horizontal="center"/>
    </xf>
    <xf fontId="37" fillId="24" borderId="17" numFmtId="10" xfId="0" applyNumberFormat="1" applyFont="1" applyFill="1" applyBorder="1" applyAlignment="1">
      <alignment horizontal="center"/>
    </xf>
    <xf fontId="36" fillId="0" borderId="0" numFmtId="4" xfId="0" applyNumberFormat="1" applyFont="1" applyAlignment="1">
      <alignment horizontal="center"/>
    </xf>
    <xf fontId="36" fillId="0" borderId="0" numFmtId="0" xfId="0" applyFont="1" applyAlignment="1">
      <alignment horizontal="center"/>
    </xf>
    <xf fontId="39" fillId="0" borderId="0" numFmtId="0" xfId="0" applyFont="1"/>
    <xf fontId="39" fillId="0" borderId="0" numFmtId="0" xfId="0" applyFont="1" applyAlignment="1">
      <alignment horizontal="right"/>
    </xf>
    <xf fontId="36" fillId="0" borderId="18" numFmtId="4" xfId="0" applyNumberFormat="1" applyFont="1" applyBorder="1" applyAlignment="1">
      <alignment horizontal="center"/>
    </xf>
    <xf fontId="36" fillId="0" borderId="19" numFmtId="4" xfId="0" applyNumberFormat="1" applyFont="1" applyBorder="1" applyAlignment="1">
      <alignment horizontal="center"/>
    </xf>
    <xf fontId="36" fillId="0" borderId="19" numFmtId="0" xfId="0" applyFont="1" applyBorder="1" applyAlignment="1">
      <alignment horizontal="center"/>
    </xf>
    <xf fontId="1" fillId="0" borderId="0" numFmtId="0" xfId="0" applyFont="1" applyAlignment="1">
      <alignment horizontal="left"/>
    </xf>
    <xf fontId="12" fillId="0" borderId="0" numFmtId="0" xfId="0" applyFont="1" applyAlignment="1">
      <alignment horizontal="center" wrapText="1"/>
    </xf>
    <xf fontId="31" fillId="21" borderId="2" numFmtId="0" xfId="0" applyFont="1" applyFill="1" applyBorder="1"/>
    <xf fontId="31" fillId="21" borderId="0" numFmtId="0" xfId="0" applyFont="1" applyFill="1"/>
    <xf fontId="31" fillId="0" borderId="0" numFmtId="0" xfId="0" applyFont="1"/>
    <xf fontId="31" fillId="0" borderId="1" numFmtId="0" xfId="0" applyFont="1" applyBorder="1" applyAlignment="1">
      <alignment horizontal="left" vertical="center"/>
    </xf>
    <xf fontId="31" fillId="0" borderId="1" numFmtId="0" xfId="0" applyFont="1" applyBorder="1" applyAlignment="1">
      <alignment vertical="center"/>
    </xf>
    <xf fontId="1" fillId="21" borderId="2" numFmtId="0" xfId="0" applyFont="1" applyFill="1" applyBorder="1"/>
    <xf fontId="1" fillId="21" borderId="0" numFmtId="0" xfId="0" applyFont="1" applyFill="1"/>
    <xf fontId="22" fillId="25" borderId="2" numFmtId="0" xfId="0" applyFont="1" applyFill="1" applyBorder="1" applyAlignment="1">
      <alignment wrapText="1"/>
    </xf>
    <xf fontId="22" fillId="25" borderId="3" numFmtId="0" xfId="0" applyFont="1" applyFill="1" applyBorder="1" applyAlignment="1">
      <alignment wrapText="1"/>
    </xf>
    <xf fontId="22" fillId="9" borderId="0" numFmtId="0" xfId="0" applyFont="1" applyFill="1" applyAlignment="1">
      <alignment wrapText="1"/>
    </xf>
    <xf fontId="22" fillId="25" borderId="2" numFmtId="163" xfId="0" applyNumberFormat="1" applyFont="1" applyFill="1" applyBorder="1" applyAlignment="1">
      <alignment wrapText="1"/>
    </xf>
    <xf fontId="1" fillId="0" borderId="2" numFmtId="0" xfId="0" applyFont="1" applyBorder="1" applyAlignment="1">
      <alignment horizontal="right"/>
    </xf>
    <xf fontId="40" fillId="0" borderId="0" numFmtId="0" xfId="0" applyFont="1" applyAlignment="1">
      <alignment horizontal="center"/>
    </xf>
    <xf fontId="41" fillId="0" borderId="20" numFmtId="0" xfId="0" applyFont="1" applyBorder="1" applyAlignment="1">
      <alignment horizontal="center"/>
    </xf>
    <xf fontId="2" fillId="0" borderId="21" numFmtId="0" xfId="0" applyFont="1" applyBorder="1"/>
    <xf fontId="2" fillId="0" borderId="22" numFmtId="0" xfId="0" applyFont="1" applyBorder="1"/>
    <xf fontId="27" fillId="26" borderId="5" numFmtId="0" xfId="0" applyFont="1" applyFill="1" applyBorder="1" applyAlignment="1">
      <alignment horizontal="center" vertical="center" wrapText="1"/>
    </xf>
    <xf fontId="27" fillId="26" borderId="4" numFmtId="0" xfId="0" applyFont="1" applyFill="1" applyBorder="1" applyAlignment="1">
      <alignment horizontal="center" vertical="center" wrapText="1"/>
    </xf>
    <xf fontId="1" fillId="2" borderId="16" numFmtId="0" xfId="0" applyFont="1" applyFill="1" applyBorder="1" applyAlignment="1">
      <alignment horizontal="center" vertical="center" wrapText="1"/>
    </xf>
    <xf fontId="22" fillId="2" borderId="2" numFmtId="0" xfId="0" applyFont="1" applyFill="1" applyBorder="1" applyAlignment="1">
      <alignment horizontal="center" vertical="center" wrapText="1"/>
    </xf>
    <xf fontId="22" fillId="2" borderId="17" numFmtId="0" xfId="0" applyFont="1" applyFill="1" applyBorder="1" applyAlignment="1">
      <alignment horizontal="center" vertical="center" wrapText="1"/>
    </xf>
    <xf fontId="1" fillId="26" borderId="2" numFmtId="0" xfId="0" applyFont="1" applyFill="1" applyBorder="1" applyAlignment="1">
      <alignment horizontal="center"/>
    </xf>
    <xf fontId="1" fillId="26" borderId="2" numFmtId="10" xfId="0" applyNumberFormat="1" applyFont="1" applyFill="1" applyBorder="1" applyAlignment="1">
      <alignment horizontal="center"/>
    </xf>
    <xf fontId="1" fillId="26" borderId="5" numFmtId="0" xfId="0" applyFont="1" applyFill="1" applyBorder="1" applyAlignment="1">
      <alignment horizontal="center" vertical="center" wrapText="1"/>
    </xf>
    <xf fontId="1" fillId="2" borderId="16" numFmtId="0" xfId="0" applyFont="1" applyFill="1" applyBorder="1" applyAlignment="1">
      <alignment horizontal="center"/>
    </xf>
    <xf fontId="1" fillId="2" borderId="2" numFmtId="0" xfId="0" applyFont="1" applyFill="1" applyBorder="1" applyAlignment="1">
      <alignment horizontal="center"/>
    </xf>
    <xf fontId="42" fillId="2" borderId="17" numFmtId="0" xfId="0" applyFont="1" applyFill="1" applyBorder="1" applyAlignment="1">
      <alignment horizontal="center"/>
    </xf>
    <xf fontId="24" fillId="3" borderId="2" numFmtId="0" xfId="0" applyFont="1" applyFill="1" applyBorder="1" applyAlignment="1">
      <alignment horizontal="center"/>
    </xf>
    <xf fontId="24" fillId="3" borderId="2" numFmtId="10" xfId="0" applyNumberFormat="1" applyFont="1" applyFill="1" applyBorder="1" applyAlignment="1">
      <alignment horizontal="center"/>
    </xf>
    <xf fontId="24" fillId="3" borderId="2" numFmtId="0" xfId="0" applyFont="1" applyFill="1" applyBorder="1" applyAlignment="1">
      <alignment horizontal="center" vertical="center"/>
    </xf>
    <xf fontId="24" fillId="3" borderId="23" numFmtId="0" xfId="0" applyFont="1" applyFill="1" applyBorder="1" applyAlignment="1">
      <alignment horizontal="center"/>
    </xf>
    <xf fontId="24" fillId="3" borderId="24" numFmtId="0" xfId="0" applyFont="1" applyFill="1" applyBorder="1" applyAlignment="1">
      <alignment horizontal="center"/>
    </xf>
    <xf fontId="24" fillId="3" borderId="25" numFmtId="0" xfId="0" applyFont="1" applyFill="1" applyBorder="1" applyAlignment="1">
      <alignment horizontal="center"/>
    </xf>
    <xf fontId="12" fillId="0" borderId="0" numFmtId="0" xfId="0" applyFont="1" applyAlignment="1">
      <alignment horizontal="center"/>
    </xf>
    <xf fontId="22" fillId="0" borderId="1" numFmtId="0" xfId="0" applyFont="1" applyBorder="1" applyAlignment="1">
      <alignment horizontal="center" wrapText="1"/>
    </xf>
    <xf fontId="1" fillId="0" borderId="0" numFmtId="0" xfId="0" applyFont="1" applyAlignment="1">
      <alignment wrapText="1"/>
    </xf>
    <xf fontId="1" fillId="0" borderId="26" numFmtId="0" xfId="0" applyFont="1" applyBorder="1" applyAlignment="1">
      <alignment horizontal="center" vertical="center"/>
    </xf>
    <xf fontId="3" fillId="0" borderId="27" numFmtId="0" xfId="0" applyFont="1" applyBorder="1" applyAlignment="1">
      <alignment wrapText="1"/>
    </xf>
    <xf fontId="3" fillId="0" borderId="27" numFmtId="0" xfId="0" applyFont="1" applyBorder="1" applyAlignment="1">
      <alignment horizontal="center" wrapText="1"/>
    </xf>
    <xf fontId="3" fillId="0" borderId="28" numFmtId="0" xfId="0" applyFont="1" applyBorder="1" applyAlignment="1">
      <alignment wrapText="1"/>
    </xf>
    <xf fontId="2" fillId="0" borderId="29" numFmtId="0" xfId="0" applyFont="1" applyBorder="1"/>
    <xf fontId="3" fillId="0" borderId="2" numFmtId="0" xfId="0" applyFont="1" applyBorder="1" applyAlignment="1">
      <alignment wrapText="1"/>
    </xf>
    <xf fontId="3" fillId="0" borderId="2" numFmtId="0" xfId="0" applyFont="1" applyBorder="1" applyAlignment="1">
      <alignment horizontal="center" wrapText="1"/>
    </xf>
    <xf fontId="3" fillId="0" borderId="17" numFmtId="0" xfId="0" applyFont="1" applyBorder="1" applyAlignment="1">
      <alignment wrapText="1"/>
    </xf>
    <xf fontId="2" fillId="0" borderId="30" numFmtId="0" xfId="0" applyFont="1" applyBorder="1"/>
    <xf fontId="3" fillId="0" borderId="24" numFmtId="0" xfId="0" applyFont="1" applyBorder="1" applyAlignment="1">
      <alignment wrapText="1"/>
    </xf>
    <xf fontId="3" fillId="0" borderId="24" numFmtId="164" xfId="0" applyNumberFormat="1" applyFont="1" applyBorder="1" applyAlignment="1">
      <alignment horizontal="center" wrapText="1"/>
    </xf>
    <xf fontId="3" fillId="0" borderId="24" numFmtId="0" xfId="0" applyFont="1" applyBorder="1" applyAlignment="1">
      <alignment horizontal="center" wrapText="1"/>
    </xf>
    <xf fontId="3" fillId="0" borderId="25" numFmtId="0" xfId="0" applyFont="1" applyBorder="1" applyAlignment="1">
      <alignment wrapText="1"/>
    </xf>
    <xf fontId="3" fillId="0" borderId="27" numFmtId="163" xfId="0" applyNumberFormat="1" applyFont="1" applyBorder="1" applyAlignment="1">
      <alignment horizontal="center" wrapText="1"/>
    </xf>
    <xf fontId="3" fillId="0" borderId="2" numFmtId="163" xfId="0" applyNumberFormat="1" applyFont="1" applyBorder="1" applyAlignment="1">
      <alignment horizontal="center" wrapText="1"/>
    </xf>
    <xf fontId="1" fillId="0" borderId="24" numFmtId="0" xfId="0" applyFont="1" applyBorder="1"/>
    <xf fontId="1" fillId="0" borderId="25" numFmtId="0" xfId="0" applyFont="1" applyBorder="1"/>
    <xf fontId="1" fillId="0" borderId="26" numFmtId="0" xfId="0" applyFont="1" applyBorder="1"/>
    <xf fontId="3" fillId="0" borderId="31" numFmtId="0" xfId="0" applyFont="1" applyBorder="1" applyAlignment="1">
      <alignment wrapText="1"/>
    </xf>
    <xf fontId="3" fillId="0" borderId="31" numFmtId="163" xfId="0" applyNumberFormat="1" applyFont="1" applyBorder="1" applyAlignment="1">
      <alignment horizontal="center" wrapText="1"/>
    </xf>
    <xf fontId="3" fillId="0" borderId="31" numFmtId="0" xfId="0" applyFont="1" applyBorder="1" applyAlignment="1">
      <alignment horizontal="center" wrapText="1"/>
    </xf>
    <xf fontId="3" fillId="0" borderId="32" numFmtId="0" xfId="0" applyFont="1" applyBorder="1" applyAlignment="1">
      <alignment wrapText="1"/>
    </xf>
    <xf fontId="3" fillId="0" borderId="33" numFmtId="0" xfId="0" applyFont="1" applyBorder="1" applyAlignment="1">
      <alignment wrapText="1"/>
    </xf>
    <xf fontId="3" fillId="0" borderId="33" numFmtId="163" xfId="0" applyNumberFormat="1" applyFont="1" applyBorder="1" applyAlignment="1">
      <alignment horizontal="center" wrapText="1"/>
    </xf>
    <xf fontId="3" fillId="0" borderId="33" numFmtId="0" xfId="0" applyFont="1" applyBorder="1" applyAlignment="1">
      <alignment horizontal="center" wrapText="1"/>
    </xf>
    <xf fontId="3" fillId="0" borderId="34" numFmtId="0" xfId="0" applyFont="1" applyBorder="1" applyAlignment="1">
      <alignment wrapText="1"/>
    </xf>
    <xf fontId="3" fillId="0" borderId="27" numFmtId="165" xfId="0" applyNumberFormat="1" applyFont="1" applyBorder="1" applyAlignment="1">
      <alignment horizontal="center" wrapText="1"/>
    </xf>
    <xf fontId="3" fillId="0" borderId="10" numFmtId="0" xfId="0" applyFont="1" applyBorder="1" applyAlignment="1">
      <alignment wrapText="1"/>
    </xf>
    <xf fontId="3" fillId="0" borderId="10" numFmtId="166" xfId="0" applyNumberFormat="1" applyFont="1" applyBorder="1" applyAlignment="1">
      <alignment horizontal="center" wrapText="1"/>
    </xf>
    <xf fontId="3" fillId="0" borderId="10" numFmtId="0" xfId="0" applyFont="1" applyBorder="1" applyAlignment="1">
      <alignment horizontal="center" wrapText="1"/>
    </xf>
    <xf fontId="3" fillId="0" borderId="24" numFmtId="166" xfId="0" applyNumberFormat="1" applyFont="1" applyBorder="1" applyAlignment="1">
      <alignment horizontal="center" wrapText="1"/>
    </xf>
    <xf fontId="3" fillId="0" borderId="2" numFmtId="166" xfId="0" applyNumberFormat="1" applyFont="1" applyBorder="1" applyAlignment="1">
      <alignment horizontal="center" wrapText="1"/>
    </xf>
    <xf fontId="3" fillId="0" borderId="2" numFmtId="162" xfId="0" applyNumberFormat="1" applyFont="1" applyBorder="1" applyAlignment="1">
      <alignment horizontal="center" wrapText="1"/>
    </xf>
    <xf fontId="3" fillId="0" borderId="1" numFmtId="0" xfId="0" applyFont="1" applyBorder="1" applyAlignment="1">
      <alignment wrapText="1"/>
    </xf>
    <xf fontId="3" fillId="0" borderId="1" numFmtId="162" xfId="0" applyNumberFormat="1" applyFont="1" applyBorder="1" applyAlignment="1">
      <alignment horizontal="center" wrapText="1"/>
    </xf>
    <xf fontId="3" fillId="0" borderId="1" numFmtId="0" xfId="0" applyFont="1" applyBorder="1" applyAlignment="1">
      <alignment horizontal="center" wrapText="1"/>
    </xf>
    <xf fontId="3" fillId="0" borderId="35" numFmtId="0" xfId="0" applyFont="1" applyBorder="1" applyAlignment="1">
      <alignment wrapText="1"/>
    </xf>
    <xf fontId="1" fillId="0" borderId="26" numFmtId="0" xfId="0" applyFont="1" applyBorder="1" applyAlignment="1">
      <alignment horizontal="center"/>
    </xf>
    <xf fontId="3" fillId="0" borderId="24" numFmtId="167" xfId="0" applyNumberFormat="1" applyFont="1" applyBorder="1" applyAlignment="1">
      <alignment horizontal="center" wrapText="1"/>
    </xf>
    <xf fontId="3" fillId="0" borderId="27" numFmtId="163" xfId="0" applyNumberFormat="1" applyFont="1" applyBorder="1" applyAlignment="1">
      <alignment wrapText="1"/>
    </xf>
    <xf fontId="3" fillId="0" borderId="2" numFmtId="162" xfId="0" applyNumberFormat="1" applyFont="1" applyBorder="1" applyAlignment="1">
      <alignment wrapText="1"/>
    </xf>
    <xf fontId="3" fillId="0" borderId="2" numFmtId="163" xfId="0" applyNumberFormat="1" applyFont="1" applyBorder="1" applyAlignment="1">
      <alignment wrapText="1"/>
    </xf>
    <xf fontId="43" fillId="0" borderId="0" numFmtId="0" xfId="0" applyFont="1"/>
    <xf fontId="41" fillId="0" borderId="3" numFmtId="0" xfId="0" applyFont="1" applyBorder="1" applyAlignment="1">
      <alignment horizontal="center"/>
    </xf>
    <xf fontId="41" fillId="2" borderId="3" numFmtId="0" xfId="0" applyFont="1" applyFill="1" applyBorder="1" applyAlignment="1">
      <alignment horizontal="center"/>
    </xf>
    <xf fontId="41" fillId="9" borderId="3" numFmtId="0" xfId="0" applyFont="1" applyFill="1" applyBorder="1" applyAlignment="1">
      <alignment horizontal="center"/>
    </xf>
    <xf fontId="1" fillId="2" borderId="2" numFmtId="0" xfId="0" applyFont="1" applyFill="1" applyBorder="1" applyAlignment="1">
      <alignment horizontal="center" vertical="center" wrapText="1"/>
    </xf>
    <xf fontId="30" fillId="2" borderId="2" numFmtId="0" xfId="0" applyFont="1" applyFill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22" fillId="0" borderId="2" numFmtId="0" xfId="0" applyFont="1" applyBorder="1" applyAlignment="1">
      <alignment horizontal="center" vertical="center" wrapText="1"/>
    </xf>
    <xf fontId="30" fillId="0" borderId="2" numFmtId="0" xfId="0" applyFont="1" applyBorder="1" applyAlignment="1">
      <alignment horizontal="center" vertical="center" wrapText="1"/>
    </xf>
    <xf fontId="44" fillId="2" borderId="2" numFmtId="0" xfId="0" applyFont="1" applyFill="1" applyBorder="1" applyAlignment="1">
      <alignment horizontal="center" vertical="center" wrapText="1"/>
    </xf>
    <xf fontId="1" fillId="9" borderId="2" numFmtId="0" xfId="0" applyFont="1" applyFill="1" applyBorder="1" applyAlignment="1">
      <alignment horizontal="center" vertical="center" wrapText="1"/>
    </xf>
    <xf fontId="22" fillId="9" borderId="2" numFmtId="0" xfId="0" applyFont="1" applyFill="1" applyBorder="1" applyAlignment="1">
      <alignment horizontal="center" vertical="center" wrapText="1"/>
    </xf>
    <xf fontId="30" fillId="9" borderId="2" numFmtId="0" xfId="0" applyFont="1" applyFill="1" applyBorder="1" applyAlignment="1">
      <alignment horizontal="center" vertical="center" wrapText="1"/>
    </xf>
    <xf fontId="25" fillId="26" borderId="2" numFmtId="9" xfId="0" applyNumberFormat="1" applyFont="1" applyFill="1" applyBorder="1" applyAlignment="1">
      <alignment horizontal="center"/>
    </xf>
    <xf fontId="25" fillId="26" borderId="5" numFmtId="9" xfId="0" applyNumberFormat="1" applyFont="1" applyFill="1" applyBorder="1" applyAlignment="1">
      <alignment horizontal="center" vertical="center" wrapText="1"/>
    </xf>
    <xf fontId="42" fillId="2" borderId="2" numFmtId="0" xfId="0" applyFont="1" applyFill="1" applyBorder="1" applyAlignment="1">
      <alignment horizontal="center"/>
    </xf>
    <xf fontId="42" fillId="0" borderId="2" numFmtId="0" xfId="0" applyFont="1" applyBorder="1" applyAlignment="1">
      <alignment horizontal="center" vertical="center"/>
    </xf>
    <xf fontId="25" fillId="2" borderId="2" numFmtId="0" xfId="0" applyFont="1" applyFill="1" applyBorder="1" applyAlignment="1">
      <alignment horizontal="center" vertical="center"/>
    </xf>
    <xf fontId="1" fillId="2" borderId="2" numFmtId="0" xfId="0" applyFont="1" applyFill="1" applyBorder="1" applyAlignment="1">
      <alignment horizontal="center" vertical="center"/>
    </xf>
    <xf fontId="45" fillId="2" borderId="2" numFmtId="0" xfId="0" applyFont="1" applyFill="1" applyBorder="1" applyAlignment="1">
      <alignment horizontal="center" vertical="center"/>
    </xf>
    <xf fontId="25" fillId="9" borderId="2" numFmtId="0" xfId="0" applyFont="1" applyFill="1" applyBorder="1" applyAlignment="1">
      <alignment horizontal="center" vertical="center"/>
    </xf>
    <xf fontId="1" fillId="9" borderId="2" numFmtId="0" xfId="0" applyFont="1" applyFill="1" applyBorder="1" applyAlignment="1">
      <alignment horizontal="center" vertical="center"/>
    </xf>
    <xf fontId="12" fillId="9" borderId="2" numFmtId="0" xfId="0" applyFont="1" applyFill="1" applyBorder="1" applyAlignment="1">
      <alignment horizontal="center" vertical="center"/>
    </xf>
    <xf fontId="45" fillId="9" borderId="2" numFmtId="0" xfId="0" applyFont="1" applyFill="1" applyBorder="1" applyAlignment="1">
      <alignment horizontal="center" vertical="center"/>
    </xf>
    <xf fontId="12" fillId="2" borderId="2" numFmtId="0" xfId="0" applyFont="1" applyFill="1" applyBorder="1" applyAlignment="1">
      <alignment horizontal="center" vertical="center"/>
    </xf>
    <xf fontId="24" fillId="3" borderId="2" numFmtId="9" xfId="0" applyNumberFormat="1" applyFont="1" applyFill="1" applyBorder="1" applyAlignment="1">
      <alignment horizontal="center"/>
    </xf>
    <xf fontId="24" fillId="3" borderId="5" numFmtId="9" xfId="0" applyNumberFormat="1" applyFont="1" applyFill="1" applyBorder="1" applyAlignment="1">
      <alignment horizontal="center" vertical="center" wrapText="1"/>
    </xf>
    <xf fontId="46" fillId="27" borderId="2" numFmtId="0" xfId="0" applyFont="1" applyFill="1" applyBorder="1" applyAlignment="1">
      <alignment horizontal="center"/>
    </xf>
    <xf fontId="22" fillId="0" borderId="2" numFmtId="0" xfId="0" applyFont="1" applyBorder="1" applyAlignment="1">
      <alignment horizontal="center" wrapText="1"/>
    </xf>
    <xf fontId="3" fillId="0" borderId="2" numFmtId="164" xfId="0" applyNumberFormat="1" applyFont="1" applyBorder="1" applyAlignment="1">
      <alignment horizontal="center" wrapText="1"/>
    </xf>
    <xf fontId="1" fillId="0" borderId="1" numFmtId="0" xfId="0" applyFont="1" applyBorder="1" applyAlignment="1">
      <alignment horizontal="center"/>
    </xf>
    <xf fontId="3" fillId="0" borderId="2" numFmtId="167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sharedStrings" Target="sharedStrings.xml"/><Relationship  Id="rId11" Type="http://schemas.openxmlformats.org/officeDocument/2006/relationships/worksheet" Target="worksheets/sheet11.xml"/><Relationship  Id="rId10" Type="http://schemas.openxmlformats.org/officeDocument/2006/relationships/worksheet" Target="worksheets/sheet10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styles" Target="styles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4</xdr:col>
      <xdr:colOff>9525</xdr:colOff>
      <xdr:row>0</xdr:row>
      <xdr:rowOff>38100</xdr:rowOff>
    </xdr:from>
    <xdr:ext cx="1571625" cy="1619250"/>
    <xdr:pic>
      <xdr:nvPicPr>
        <xdr:cNvPr id="0" name="image1.png" title="Изображение"/>
        <xdr:cNvPicPr/>
      </xdr:nvPicPr>
      <xdr:blipFill>
        <a:blip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304800</xdr:colOff>
      <xdr:row>0</xdr:row>
      <xdr:rowOff>0</xdr:rowOff>
    </xdr:from>
    <xdr:ext cx="1333500" cy="1838324"/>
    <xdr:pic>
      <xdr:nvPicPr>
        <xdr:cNvPr id="0" name="image2.png"/>
        <xdr:cNvPicPr/>
      </xdr:nvPicPr>
      <xdr:blipFill>
        <a:blip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1571625</xdr:colOff>
      <xdr:row>0</xdr:row>
      <xdr:rowOff>0</xdr:rowOff>
    </xdr:from>
    <xdr:ext cx="800100" cy="1066800"/>
    <xdr:pic>
      <xdr:nvPicPr>
        <xdr:cNvPr id="0" name="image3.jpg" title="Изображение"/>
        <xdr:cNvPicPr/>
      </xdr:nvPicPr>
      <xdr:blipFill>
        <a:blip r:embed="rId3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9</xdr:col>
      <xdr:colOff>552449</xdr:colOff>
      <xdr:row>12</xdr:row>
      <xdr:rowOff>180975</xdr:rowOff>
    </xdr:from>
    <xdr:ext cx="6981825" cy="3152775"/>
    <xdr:pic>
      <xdr:nvPicPr>
        <xdr:cNvPr id="0" name="image4.png" title="Изображение"/>
        <xdr:cNvPicPr/>
      </xdr:nvPicPr>
      <xdr:blipFill>
        <a:blip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4.vml"/><Relationship  Id="rId2" Type="http://schemas.openxmlformats.org/officeDocument/2006/relationships/drawing" Target="../drawings/drawing2.xml"/><Relationship  Id="rId1" Type="http://schemas.openxmlformats.org/officeDocument/2006/relationships/comments" Target="../comments4.xml"/></Relationships>
</file>

<file path=xl/worksheets/_rels/sheet1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5.vml"/><Relationship  Id="rId2" Type="http://schemas.openxmlformats.org/officeDocument/2006/relationships/comments" Target="../comments5.xml"/><Relationship  Id="rId1" Type="http://schemas.openxmlformats.org/officeDocument/2006/relationships/hyperlink" Target="https://docs.google.com/spreadsheets/d/1MyS5fvdCwwR-9X1QqZgIddUPOcxJ8CSvTeJqhxbipkw/edit" TargetMode="External"/></Relationships>
</file>

<file path=xl/worksheets/_rels/sheet2.xml.rels><?xml version="1.0" encoding="UTF-8" standalone="yes"?><Relationships xmlns="http://schemas.openxmlformats.org/package/2006/relationships"><Relationship  Id="rId2" Type="http://schemas.openxmlformats.org/officeDocument/2006/relationships/drawing" Target="../drawings/drawing1.xml"/><Relationship  Id="rId1" Type="http://schemas.openxmlformats.org/officeDocument/2006/relationships/hyperlink" Target="https://t.me/voroninahr" TargetMode="External"/></Relationships>
</file>

<file path=xl/worksheets/_rels/sheet4.xml.rels><?xml version="1.0" encoding="UTF-8" standalone="yes"?><Relationships xmlns="http://schemas.openxmlformats.org/package/2006/relationships"><Relationship  Id="rId2" Type="http://schemas.openxmlformats.org/officeDocument/2006/relationships/vmlDrawing" Target="../drawings/vmlDrawing1.vml"/><Relationship  Id="rId1" Type="http://schemas.openxmlformats.org/officeDocument/2006/relationships/comments" Target="../comments1.xml"/></Relationships>
</file>

<file path=xl/worksheets/_rels/sheet5.xml.rels><?xml version="1.0" encoding="UTF-8" standalone="yes"?><Relationships xmlns="http://schemas.openxmlformats.org/package/2006/relationships"><Relationship  Id="rId2" Type="http://schemas.openxmlformats.org/officeDocument/2006/relationships/vmlDrawing" Target="../drawings/vmlDrawing2.vml"/><Relationship  Id="rId1" Type="http://schemas.openxmlformats.org/officeDocument/2006/relationships/comments" Target="../comments2.xml"/></Relationships>
</file>

<file path=xl/worksheets/_rels/sheet6.xml.rels><?xml version="1.0" encoding="UTF-8" standalone="yes"?><Relationships xmlns="http://schemas.openxmlformats.org/package/2006/relationships"><Relationship  Id="rId2" Type="http://schemas.openxmlformats.org/officeDocument/2006/relationships/vmlDrawing" Target="../drawings/vmlDrawing3.vml"/><Relationship 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showRuler="1" zoomScale="100" workbookViewId="0">
      <selection activeCell="A1" activeCellId="0" sqref="A1"/>
    </sheetView>
  </sheetViews>
  <sheetFormatPr defaultColWidth="12.630000000000001" defaultRowHeight="15" customHeight="1"/>
  <cols>
    <col customWidth="1" min="1" max="1" width="11.130000000000001"/>
    <col customWidth="1" min="2" max="2" width="17.879999999999999"/>
    <col customWidth="1" min="3" max="3" width="18.129999999999999"/>
    <col customWidth="1" min="4" max="4" width="16.629999999999999"/>
    <col customWidth="1" min="5" max="5" width="17.629999999999999"/>
    <col customWidth="1" min="6" max="6" width="17"/>
    <col customWidth="1" min="7" max="8" width="16.5"/>
    <col customWidth="1" min="9" max="26" width="11.130000000000001"/>
  </cols>
  <sheetData>
    <row r="1" ht="15.75" customHeight="1"/>
    <row r="2" ht="15.75" customHeight="1">
      <c r="E2" s="1" t="s">
        <v>0</v>
      </c>
    </row>
    <row r="3" ht="15.75" customHeight="1">
      <c r="A3" s="1" t="s">
        <v>1</v>
      </c>
      <c r="B3" s="2" t="s">
        <v>2</v>
      </c>
      <c r="C3" s="3" t="s">
        <v>3</v>
      </c>
      <c r="D3" s="4"/>
      <c r="E3" s="5"/>
      <c r="F3" s="5"/>
      <c r="G3" s="5"/>
      <c r="H3" s="6"/>
    </row>
    <row r="4" ht="15.75" customHeight="1">
      <c r="A4" s="7"/>
      <c r="B4" s="8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10</v>
      </c>
      <c r="J4" s="10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ht="15.75" customHeight="1">
      <c r="B5" s="11" t="s">
        <v>11</v>
      </c>
      <c r="C5" s="12">
        <v>5</v>
      </c>
      <c r="D5" s="12">
        <v>0</v>
      </c>
      <c r="E5" s="12">
        <v>5</v>
      </c>
      <c r="F5" s="12">
        <v>9</v>
      </c>
      <c r="G5" s="12">
        <v>14</v>
      </c>
      <c r="H5" s="12" t="s">
        <v>12</v>
      </c>
    </row>
    <row r="6" ht="15.75" customHeight="1">
      <c r="B6" s="11" t="s">
        <v>13</v>
      </c>
      <c r="C6" s="12">
        <v>6</v>
      </c>
      <c r="D6" s="12">
        <v>0</v>
      </c>
      <c r="E6" s="12">
        <v>6</v>
      </c>
      <c r="F6" s="12">
        <v>8</v>
      </c>
      <c r="G6" s="12">
        <v>14</v>
      </c>
      <c r="H6" s="12" t="s">
        <v>14</v>
      </c>
    </row>
    <row r="7" ht="15.75" customHeight="1">
      <c r="B7" s="11" t="s">
        <v>15</v>
      </c>
      <c r="C7" s="12">
        <v>6</v>
      </c>
      <c r="D7" s="12">
        <v>0</v>
      </c>
      <c r="E7" s="12">
        <v>6</v>
      </c>
      <c r="F7" s="12">
        <v>9</v>
      </c>
      <c r="G7" s="12">
        <v>15</v>
      </c>
      <c r="H7" s="12" t="s">
        <v>12</v>
      </c>
    </row>
    <row r="8" ht="15.75" customHeight="1">
      <c r="B8" s="11" t="s">
        <v>16</v>
      </c>
      <c r="C8" s="12">
        <v>7</v>
      </c>
      <c r="D8" s="12">
        <v>0</v>
      </c>
      <c r="E8" s="12">
        <v>7</v>
      </c>
      <c r="F8" s="12">
        <v>7</v>
      </c>
      <c r="G8" s="12">
        <v>14</v>
      </c>
      <c r="H8" s="12" t="s">
        <v>12</v>
      </c>
    </row>
    <row r="9" ht="15.75" customHeight="1">
      <c r="B9" s="11" t="s">
        <v>17</v>
      </c>
      <c r="C9" s="12">
        <v>8</v>
      </c>
      <c r="D9" s="12">
        <v>3</v>
      </c>
      <c r="E9" s="12">
        <v>11</v>
      </c>
      <c r="F9" s="12">
        <v>3</v>
      </c>
      <c r="G9" s="12">
        <v>14</v>
      </c>
      <c r="H9" s="12" t="s">
        <v>18</v>
      </c>
    </row>
    <row r="10" ht="15.75" customHeight="1">
      <c r="B10" s="11" t="s">
        <v>19</v>
      </c>
      <c r="C10" s="12">
        <v>7</v>
      </c>
      <c r="D10" s="12">
        <v>3</v>
      </c>
      <c r="E10" s="12">
        <v>10</v>
      </c>
      <c r="F10" s="12">
        <v>3</v>
      </c>
      <c r="G10" s="12">
        <v>13</v>
      </c>
      <c r="H10" s="12" t="s">
        <v>18</v>
      </c>
    </row>
    <row r="11" ht="15.75" customHeight="1">
      <c r="B11" s="11" t="s">
        <v>20</v>
      </c>
      <c r="C11" s="12">
        <v>4</v>
      </c>
      <c r="D11" s="12">
        <v>1</v>
      </c>
      <c r="E11" s="12">
        <v>5</v>
      </c>
      <c r="F11" s="12">
        <v>1</v>
      </c>
      <c r="G11" s="12">
        <v>6</v>
      </c>
      <c r="H11" s="12" t="s">
        <v>21</v>
      </c>
    </row>
    <row r="12" ht="15.75" customHeight="1">
      <c r="B12" s="13" t="s">
        <v>22</v>
      </c>
      <c r="C12" s="13"/>
      <c r="D12" s="13"/>
      <c r="E12" s="13"/>
      <c r="F12" s="13"/>
      <c r="G12" s="13"/>
      <c r="H12" s="13"/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3:B4"/>
    <mergeCell ref="D3:H3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showRuler="1" zoomScale="100" workbookViewId="0">
      <pane xSplit="5" topLeftCell="F1" activePane="topRight" state="frozen"/>
      <selection activeCell="G2" activeCellId="0" sqref="G2"/>
    </sheetView>
  </sheetViews>
  <sheetFormatPr defaultColWidth="12.630000000000001" defaultRowHeight="15" customHeight="1"/>
  <cols>
    <col customWidth="1" min="1" max="1" width="12.5"/>
    <col customWidth="1" min="2" max="2" width="14.25"/>
    <col customWidth="1" min="3" max="3" width="8.5"/>
    <col customWidth="1" min="4" max="4" width="8.6300000000000008"/>
    <col customWidth="1" min="5" max="5" width="17.379999999999999"/>
    <col customWidth="1" min="6" max="6" width="9.5"/>
    <col customWidth="1" min="7" max="7" width="8"/>
    <col customWidth="1" min="8" max="9" width="7.75"/>
    <col customWidth="1" min="10" max="10" width="8.5"/>
    <col customWidth="1" min="11" max="11" width="9.3800000000000008"/>
    <col customWidth="1" min="12" max="12" width="8.6300000000000008"/>
    <col customWidth="1" min="13" max="14" width="7.75"/>
    <col customWidth="1" min="15" max="15" width="7.3799999999999999"/>
    <col customWidth="1" min="16" max="16" width="10.630000000000001"/>
    <col customWidth="1" min="17" max="17" width="10.380000000000001"/>
    <col customWidth="1" min="18" max="18" width="8.8800000000000008"/>
    <col customWidth="1" min="19" max="19" width="7.75"/>
    <col customWidth="1" min="20" max="20" width="8.1300000000000008"/>
    <col customWidth="1" min="21" max="21" width="8"/>
    <col customWidth="1" min="22" max="22" width="8.1300000000000008"/>
    <col customWidth="1" min="23" max="23" width="9"/>
    <col customWidth="1" min="24" max="24" width="9.5"/>
    <col customWidth="1" min="25" max="25" width="8.5"/>
    <col customWidth="1" min="26" max="26" width="8.1300000000000008"/>
    <col customWidth="1" min="27" max="27" width="7.75"/>
    <col customWidth="1" min="28" max="28" width="9.3800000000000008"/>
    <col customWidth="1" min="29" max="29" width="8.6300000000000008"/>
  </cols>
  <sheetData>
    <row r="1" ht="15.75" customHeight="1"/>
    <row r="2" ht="15.75" customHeight="1">
      <c r="C2" s="280"/>
      <c r="F2" s="281" t="s">
        <v>82</v>
      </c>
      <c r="G2" s="282"/>
      <c r="H2" s="282"/>
      <c r="I2" s="282"/>
      <c r="J2" s="282"/>
      <c r="K2" s="283"/>
      <c r="L2" s="281" t="s">
        <v>83</v>
      </c>
      <c r="M2" s="282"/>
      <c r="N2" s="282"/>
      <c r="O2" s="282"/>
      <c r="P2" s="282"/>
      <c r="Q2" s="283"/>
      <c r="R2" s="281" t="s">
        <v>84</v>
      </c>
      <c r="S2" s="282"/>
      <c r="T2" s="282"/>
      <c r="U2" s="282"/>
      <c r="V2" s="282"/>
      <c r="W2" s="283"/>
      <c r="X2" s="281" t="s">
        <v>85</v>
      </c>
      <c r="Y2" s="282"/>
      <c r="Z2" s="282"/>
      <c r="AA2" s="282"/>
      <c r="AB2" s="282"/>
      <c r="AC2" s="283"/>
    </row>
    <row r="3" ht="15.75" customHeight="1">
      <c r="A3" s="142" t="s">
        <v>2</v>
      </c>
      <c r="B3" s="284" t="s">
        <v>520</v>
      </c>
      <c r="C3" s="284" t="s">
        <v>521</v>
      </c>
      <c r="D3" s="284" t="s">
        <v>522</v>
      </c>
      <c r="E3" s="285" t="s">
        <v>523</v>
      </c>
      <c r="F3" s="286" t="s">
        <v>524</v>
      </c>
      <c r="G3" s="287" t="s">
        <v>525</v>
      </c>
      <c r="H3" s="287" t="s">
        <v>526</v>
      </c>
      <c r="I3" s="287" t="s">
        <v>527</v>
      </c>
      <c r="J3" s="287" t="s">
        <v>528</v>
      </c>
      <c r="K3" s="288" t="s">
        <v>529</v>
      </c>
      <c r="L3" s="286" t="s">
        <v>524</v>
      </c>
      <c r="M3" s="287" t="s">
        <v>525</v>
      </c>
      <c r="N3" s="287" t="s">
        <v>526</v>
      </c>
      <c r="O3" s="287" t="s">
        <v>527</v>
      </c>
      <c r="P3" s="287" t="s">
        <v>528</v>
      </c>
      <c r="Q3" s="288" t="s">
        <v>529</v>
      </c>
      <c r="R3" s="286" t="s">
        <v>524</v>
      </c>
      <c r="S3" s="287" t="s">
        <v>525</v>
      </c>
      <c r="T3" s="287" t="s">
        <v>526</v>
      </c>
      <c r="U3" s="287" t="s">
        <v>527</v>
      </c>
      <c r="V3" s="287" t="s">
        <v>528</v>
      </c>
      <c r="W3" s="288" t="s">
        <v>529</v>
      </c>
      <c r="X3" s="286" t="s">
        <v>524</v>
      </c>
      <c r="Y3" s="287" t="s">
        <v>525</v>
      </c>
      <c r="Z3" s="287" t="s">
        <v>526</v>
      </c>
      <c r="AA3" s="287" t="s">
        <v>527</v>
      </c>
      <c r="AB3" s="287" t="s">
        <v>528</v>
      </c>
      <c r="AC3" s="288" t="s">
        <v>529</v>
      </c>
    </row>
    <row r="4" ht="15.75" customHeight="1">
      <c r="A4" s="11" t="s">
        <v>11</v>
      </c>
      <c r="B4" s="289">
        <v>14</v>
      </c>
      <c r="C4" s="290">
        <f t="shared" ref="C4:C11" si="234">L4/B4</f>
        <v>0.42857142857142855</v>
      </c>
      <c r="D4" s="291">
        <v>1</v>
      </c>
      <c r="E4" s="290">
        <f>D4/P4</f>
        <v>0.16666666666666666</v>
      </c>
      <c r="F4" s="292">
        <v>5</v>
      </c>
      <c r="G4" s="293">
        <v>4</v>
      </c>
      <c r="H4" s="293">
        <v>2</v>
      </c>
      <c r="I4" s="293">
        <v>0</v>
      </c>
      <c r="J4" s="293">
        <v>6</v>
      </c>
      <c r="K4" s="294"/>
      <c r="L4" s="292">
        <v>6</v>
      </c>
      <c r="M4" s="293">
        <v>5</v>
      </c>
      <c r="N4" s="293">
        <v>0</v>
      </c>
      <c r="O4" s="293">
        <v>0</v>
      </c>
      <c r="P4" s="293">
        <v>6</v>
      </c>
      <c r="Q4" s="294"/>
      <c r="R4" s="292"/>
      <c r="S4" s="293">
        <v>8</v>
      </c>
      <c r="T4" s="293"/>
      <c r="U4" s="293"/>
      <c r="V4" s="293"/>
      <c r="W4" s="294"/>
      <c r="X4" s="292"/>
      <c r="Y4" s="293"/>
      <c r="Z4" s="293"/>
      <c r="AA4" s="293"/>
      <c r="AB4" s="293"/>
      <c r="AC4" s="294"/>
    </row>
    <row r="5" ht="15.75" customHeight="1">
      <c r="A5" s="11" t="s">
        <v>13</v>
      </c>
      <c r="B5" s="289">
        <v>14</v>
      </c>
      <c r="C5" s="290">
        <f t="shared" si="234"/>
        <v>0.42857142857142855</v>
      </c>
      <c r="D5" s="291">
        <v>2</v>
      </c>
      <c r="E5" s="290">
        <f t="shared" ref="E5:E6" si="235">D5/B5</f>
        <v>0.14285714285714285</v>
      </c>
      <c r="F5" s="292">
        <v>7</v>
      </c>
      <c r="G5" s="293">
        <v>7</v>
      </c>
      <c r="H5" s="293">
        <v>1</v>
      </c>
      <c r="I5" s="293">
        <v>0</v>
      </c>
      <c r="J5" s="293">
        <v>6</v>
      </c>
      <c r="K5" s="294"/>
      <c r="L5" s="292">
        <v>6</v>
      </c>
      <c r="M5" s="293">
        <v>8</v>
      </c>
      <c r="N5" s="293">
        <v>0</v>
      </c>
      <c r="O5" s="293">
        <v>0</v>
      </c>
      <c r="P5" s="293">
        <v>6</v>
      </c>
      <c r="Q5" s="294">
        <v>8</v>
      </c>
      <c r="R5" s="292">
        <v>6</v>
      </c>
      <c r="S5" s="293">
        <v>8</v>
      </c>
      <c r="T5" s="293"/>
      <c r="U5" s="293">
        <v>1</v>
      </c>
      <c r="V5" s="293"/>
      <c r="W5" s="294"/>
      <c r="X5" s="292"/>
      <c r="Y5" s="293"/>
      <c r="Z5" s="293"/>
      <c r="AA5" s="293"/>
      <c r="AB5" s="293"/>
      <c r="AC5" s="294"/>
    </row>
    <row r="6" ht="15.75" customHeight="1">
      <c r="A6" s="11" t="s">
        <v>15</v>
      </c>
      <c r="B6" s="289">
        <v>15</v>
      </c>
      <c r="C6" s="290">
        <f t="shared" si="234"/>
        <v>0.40000000000000002</v>
      </c>
      <c r="D6" s="291">
        <v>3</v>
      </c>
      <c r="E6" s="290">
        <f t="shared" si="235"/>
        <v>0.20000000000000001</v>
      </c>
      <c r="F6" s="292">
        <v>6</v>
      </c>
      <c r="G6" s="293">
        <v>8</v>
      </c>
      <c r="H6" s="293">
        <v>0</v>
      </c>
      <c r="I6" s="293">
        <v>1</v>
      </c>
      <c r="J6" s="293">
        <v>7</v>
      </c>
      <c r="K6" s="294"/>
      <c r="L6" s="292">
        <v>6</v>
      </c>
      <c r="M6" s="293">
        <v>8</v>
      </c>
      <c r="N6" s="293">
        <v>2</v>
      </c>
      <c r="O6" s="293">
        <v>0</v>
      </c>
      <c r="P6" s="293">
        <v>8</v>
      </c>
      <c r="Q6" s="294"/>
      <c r="R6" s="292"/>
      <c r="S6" s="293"/>
      <c r="T6" s="293"/>
      <c r="U6" s="293"/>
      <c r="V6" s="293"/>
      <c r="W6" s="294"/>
      <c r="X6" s="292"/>
      <c r="Y6" s="293"/>
      <c r="Z6" s="293"/>
      <c r="AA6" s="293"/>
      <c r="AB6" s="293"/>
      <c r="AC6" s="294"/>
    </row>
    <row r="7" ht="15.75" customHeight="1">
      <c r="A7" s="11" t="s">
        <v>16</v>
      </c>
      <c r="B7" s="289">
        <v>14</v>
      </c>
      <c r="C7" s="290">
        <f t="shared" si="234"/>
        <v>0.7142857142857143</v>
      </c>
      <c r="D7" s="291">
        <v>3</v>
      </c>
      <c r="E7" s="290">
        <f t="shared" ref="E7:E11" si="236">D7/P7</f>
        <v>0.33333333333333331</v>
      </c>
      <c r="F7" s="292">
        <v>11</v>
      </c>
      <c r="G7" s="293">
        <v>0</v>
      </c>
      <c r="H7" s="293">
        <v>0</v>
      </c>
      <c r="I7" s="293">
        <v>0</v>
      </c>
      <c r="J7" s="293">
        <v>10</v>
      </c>
      <c r="K7" s="294"/>
      <c r="L7" s="292">
        <v>10</v>
      </c>
      <c r="M7" s="293">
        <v>3</v>
      </c>
      <c r="N7" s="293">
        <v>0</v>
      </c>
      <c r="O7" s="293">
        <v>0</v>
      </c>
      <c r="P7" s="293">
        <v>9</v>
      </c>
      <c r="Q7" s="294"/>
      <c r="R7" s="292"/>
      <c r="S7" s="293"/>
      <c r="T7" s="293"/>
      <c r="U7" s="293"/>
      <c r="V7" s="293"/>
      <c r="W7" s="294"/>
      <c r="X7" s="292"/>
      <c r="Y7" s="293"/>
      <c r="Z7" s="293"/>
      <c r="AA7" s="293"/>
      <c r="AB7" s="293"/>
      <c r="AC7" s="294"/>
    </row>
    <row r="8" ht="15.75" customHeight="1">
      <c r="A8" s="11" t="s">
        <v>17</v>
      </c>
      <c r="B8" s="289">
        <v>14</v>
      </c>
      <c r="C8" s="290">
        <f t="shared" si="234"/>
        <v>0.5</v>
      </c>
      <c r="D8" s="291">
        <v>2</v>
      </c>
      <c r="E8" s="290">
        <f t="shared" si="236"/>
        <v>0.33333333333333331</v>
      </c>
      <c r="F8" s="292">
        <v>8</v>
      </c>
      <c r="G8" s="293">
        <v>7</v>
      </c>
      <c r="H8" s="293">
        <v>0</v>
      </c>
      <c r="I8" s="293">
        <v>0</v>
      </c>
      <c r="J8" s="293">
        <v>7</v>
      </c>
      <c r="K8" s="294"/>
      <c r="L8" s="292">
        <v>7</v>
      </c>
      <c r="M8" s="293">
        <v>7</v>
      </c>
      <c r="N8" s="293">
        <v>0</v>
      </c>
      <c r="O8" s="293">
        <v>0</v>
      </c>
      <c r="P8" s="293">
        <v>6</v>
      </c>
      <c r="Q8" s="294">
        <v>8</v>
      </c>
      <c r="R8" s="292">
        <v>5</v>
      </c>
      <c r="S8" s="293">
        <v>8</v>
      </c>
      <c r="T8" s="293"/>
      <c r="U8" s="293"/>
      <c r="V8" s="293">
        <v>5</v>
      </c>
      <c r="W8" s="294">
        <v>1</v>
      </c>
      <c r="X8" s="292">
        <v>5</v>
      </c>
      <c r="Y8" s="293"/>
      <c r="Z8" s="293"/>
      <c r="AA8" s="293"/>
      <c r="AB8" s="293"/>
      <c r="AC8" s="294"/>
    </row>
    <row r="9" ht="15.75" customHeight="1">
      <c r="A9" s="11" t="s">
        <v>19</v>
      </c>
      <c r="B9" s="289">
        <v>14</v>
      </c>
      <c r="C9" s="290">
        <f t="shared" si="234"/>
        <v>0.42857142857142855</v>
      </c>
      <c r="D9" s="291">
        <v>2</v>
      </c>
      <c r="E9" s="290">
        <f t="shared" si="236"/>
        <v>0.40000000000000002</v>
      </c>
      <c r="F9" s="292">
        <v>8</v>
      </c>
      <c r="G9" s="293">
        <v>5</v>
      </c>
      <c r="H9" s="293">
        <v>0</v>
      </c>
      <c r="I9" s="293">
        <v>0</v>
      </c>
      <c r="J9" s="293">
        <v>7</v>
      </c>
      <c r="K9" s="294">
        <v>6</v>
      </c>
      <c r="L9" s="292">
        <v>6</v>
      </c>
      <c r="M9" s="293">
        <v>8</v>
      </c>
      <c r="N9" s="293">
        <v>0</v>
      </c>
      <c r="O9" s="293">
        <v>0</v>
      </c>
      <c r="P9" s="293">
        <v>5</v>
      </c>
      <c r="Q9" s="294">
        <v>9</v>
      </c>
      <c r="R9" s="292">
        <v>5</v>
      </c>
      <c r="S9" s="293"/>
      <c r="T9" s="293"/>
      <c r="U9" s="293"/>
      <c r="V9" s="293"/>
      <c r="W9" s="294"/>
      <c r="X9" s="292"/>
      <c r="Y9" s="293"/>
      <c r="Z9" s="293"/>
      <c r="AA9" s="293"/>
      <c r="AB9" s="293"/>
      <c r="AC9" s="294"/>
    </row>
    <row r="10" ht="15.75" customHeight="1">
      <c r="A10" s="11" t="s">
        <v>20</v>
      </c>
      <c r="B10" s="289">
        <v>5</v>
      </c>
      <c r="C10" s="290">
        <f t="shared" si="234"/>
        <v>0.40000000000000002</v>
      </c>
      <c r="D10" s="291">
        <v>2</v>
      </c>
      <c r="E10" s="290">
        <f t="shared" si="236"/>
        <v>1</v>
      </c>
      <c r="F10" s="292">
        <v>4</v>
      </c>
      <c r="G10" s="293">
        <v>1</v>
      </c>
      <c r="H10" s="293">
        <v>0</v>
      </c>
      <c r="I10" s="293">
        <v>0</v>
      </c>
      <c r="J10" s="293">
        <v>2</v>
      </c>
      <c r="K10" s="294">
        <v>3</v>
      </c>
      <c r="L10" s="292">
        <v>2</v>
      </c>
      <c r="M10" s="293">
        <v>3</v>
      </c>
      <c r="N10" s="293">
        <v>0</v>
      </c>
      <c r="O10" s="293">
        <v>0</v>
      </c>
      <c r="P10" s="293">
        <v>2</v>
      </c>
      <c r="Q10" s="294">
        <v>3</v>
      </c>
      <c r="R10" s="292">
        <v>2</v>
      </c>
      <c r="S10" s="293">
        <v>4</v>
      </c>
      <c r="T10" s="293"/>
      <c r="U10" s="293"/>
      <c r="V10" s="293"/>
      <c r="W10" s="294"/>
      <c r="X10" s="292"/>
      <c r="Y10" s="293"/>
      <c r="Z10" s="293"/>
      <c r="AA10" s="293"/>
      <c r="AB10" s="293"/>
      <c r="AC10" s="294"/>
    </row>
    <row r="11" ht="15.75" customHeight="1">
      <c r="A11" s="295" t="s">
        <v>22</v>
      </c>
      <c r="B11" s="295">
        <f>SUM(B4:B10)</f>
        <v>90</v>
      </c>
      <c r="C11" s="296">
        <f t="shared" si="234"/>
        <v>0.4777777777777778</v>
      </c>
      <c r="D11" s="297">
        <f>SUM(D4:D10)</f>
        <v>15</v>
      </c>
      <c r="E11" s="296">
        <f t="shared" si="236"/>
        <v>0.35714285714285715</v>
      </c>
      <c r="F11" s="298">
        <f t="shared" ref="F11:AC11" si="237">SUM(F4:F10)</f>
        <v>49</v>
      </c>
      <c r="G11" s="299">
        <f t="shared" si="237"/>
        <v>32</v>
      </c>
      <c r="H11" s="299">
        <f t="shared" si="237"/>
        <v>3</v>
      </c>
      <c r="I11" s="299">
        <f t="shared" si="237"/>
        <v>1</v>
      </c>
      <c r="J11" s="299">
        <f t="shared" si="237"/>
        <v>45</v>
      </c>
      <c r="K11" s="300">
        <f t="shared" si="237"/>
        <v>9</v>
      </c>
      <c r="L11" s="298">
        <f t="shared" si="237"/>
        <v>43</v>
      </c>
      <c r="M11" s="299">
        <f t="shared" si="237"/>
        <v>42</v>
      </c>
      <c r="N11" s="299">
        <f t="shared" si="237"/>
        <v>2</v>
      </c>
      <c r="O11" s="299">
        <f t="shared" si="237"/>
        <v>0</v>
      </c>
      <c r="P11" s="299">
        <f t="shared" si="237"/>
        <v>42</v>
      </c>
      <c r="Q11" s="300">
        <f t="shared" si="237"/>
        <v>28</v>
      </c>
      <c r="R11" s="298">
        <f t="shared" si="237"/>
        <v>18</v>
      </c>
      <c r="S11" s="299">
        <f t="shared" si="237"/>
        <v>28</v>
      </c>
      <c r="T11" s="299">
        <f t="shared" si="237"/>
        <v>0</v>
      </c>
      <c r="U11" s="299">
        <f t="shared" si="237"/>
        <v>1</v>
      </c>
      <c r="V11" s="299">
        <f t="shared" si="237"/>
        <v>5</v>
      </c>
      <c r="W11" s="300">
        <f t="shared" si="237"/>
        <v>1</v>
      </c>
      <c r="X11" s="298">
        <f t="shared" si="237"/>
        <v>5</v>
      </c>
      <c r="Y11" s="299">
        <f t="shared" si="237"/>
        <v>0</v>
      </c>
      <c r="Z11" s="299">
        <f t="shared" si="237"/>
        <v>0</v>
      </c>
      <c r="AA11" s="299">
        <f t="shared" si="237"/>
        <v>0</v>
      </c>
      <c r="AB11" s="299">
        <f t="shared" si="237"/>
        <v>0</v>
      </c>
      <c r="AC11" s="300">
        <f t="shared" si="237"/>
        <v>0</v>
      </c>
    </row>
    <row r="12" ht="15.75" customHeight="1"/>
    <row r="13" ht="15.75" customHeight="1">
      <c r="B13" s="301" t="s">
        <v>530</v>
      </c>
    </row>
    <row r="14" ht="15.75" customHeight="1">
      <c r="A14" s="302"/>
      <c r="B14" s="302" t="s">
        <v>209</v>
      </c>
      <c r="C14" s="302" t="s">
        <v>370</v>
      </c>
      <c r="D14" s="302" t="s">
        <v>531</v>
      </c>
      <c r="E14" s="302" t="s">
        <v>532</v>
      </c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</row>
    <row r="15" ht="15.75" customHeight="1">
      <c r="A15" s="304" t="s">
        <v>11</v>
      </c>
      <c r="B15" s="305" t="s">
        <v>533</v>
      </c>
      <c r="C15" s="306" t="s">
        <v>83</v>
      </c>
      <c r="D15" s="306" t="s">
        <v>534</v>
      </c>
      <c r="E15" s="307" t="s">
        <v>535</v>
      </c>
    </row>
    <row r="16" ht="15.75" customHeight="1">
      <c r="A16" s="308"/>
      <c r="B16" s="309"/>
      <c r="C16" s="310"/>
      <c r="D16" s="310"/>
      <c r="E16" s="311"/>
    </row>
    <row r="17" ht="15.75" customHeight="1">
      <c r="A17" s="308"/>
      <c r="B17" s="309"/>
      <c r="C17" s="310"/>
      <c r="D17" s="310"/>
      <c r="E17" s="311"/>
    </row>
    <row r="18" ht="15.75" customHeight="1">
      <c r="A18" s="312"/>
      <c r="B18" s="313"/>
      <c r="C18" s="314"/>
      <c r="D18" s="315"/>
      <c r="E18" s="316"/>
    </row>
    <row r="19" ht="15.75" customHeight="1">
      <c r="A19" s="304" t="s">
        <v>13</v>
      </c>
      <c r="B19" s="305" t="s">
        <v>536</v>
      </c>
      <c r="C19" s="317">
        <v>44581</v>
      </c>
      <c r="D19" s="306" t="s">
        <v>537</v>
      </c>
      <c r="E19" s="307" t="s">
        <v>538</v>
      </c>
    </row>
    <row r="20" ht="15.75" customHeight="1">
      <c r="A20" s="308"/>
      <c r="B20" s="309" t="s">
        <v>275</v>
      </c>
      <c r="C20" s="318">
        <v>44592</v>
      </c>
      <c r="D20" s="310" t="s">
        <v>539</v>
      </c>
      <c r="E20" s="311" t="s">
        <v>540</v>
      </c>
    </row>
    <row r="21" ht="15.75" customHeight="1">
      <c r="A21" s="308"/>
      <c r="B21" s="309"/>
      <c r="C21" s="310"/>
      <c r="D21" s="310"/>
      <c r="E21" s="311"/>
    </row>
    <row r="22" ht="15.75" customHeight="1">
      <c r="A22" s="312"/>
      <c r="B22" s="319"/>
      <c r="C22" s="319"/>
      <c r="D22" s="319"/>
      <c r="E22" s="320"/>
    </row>
    <row r="23" ht="15.75" customHeight="1">
      <c r="A23" s="321" t="s">
        <v>15</v>
      </c>
      <c r="B23" s="322" t="s">
        <v>541</v>
      </c>
      <c r="C23" s="323">
        <v>44581</v>
      </c>
      <c r="D23" s="324" t="s">
        <v>542</v>
      </c>
      <c r="E23" s="325" t="s">
        <v>543</v>
      </c>
    </row>
    <row r="24" ht="15.75" customHeight="1">
      <c r="A24" s="312"/>
      <c r="B24" s="326" t="s">
        <v>544</v>
      </c>
      <c r="C24" s="327">
        <v>44588</v>
      </c>
      <c r="D24" s="328" t="s">
        <v>545</v>
      </c>
      <c r="E24" s="329" t="s">
        <v>546</v>
      </c>
    </row>
    <row r="25" ht="15.75" customHeight="1">
      <c r="A25" s="304" t="s">
        <v>16</v>
      </c>
      <c r="B25" s="305" t="s">
        <v>547</v>
      </c>
      <c r="C25" s="330">
        <v>44582</v>
      </c>
      <c r="D25" s="306" t="s">
        <v>537</v>
      </c>
      <c r="E25" s="307" t="s">
        <v>548</v>
      </c>
    </row>
    <row r="26" ht="15.75" customHeight="1">
      <c r="A26" s="308"/>
      <c r="B26" s="331" t="s">
        <v>549</v>
      </c>
      <c r="C26" s="332">
        <v>44607</v>
      </c>
      <c r="D26" s="333" t="s">
        <v>550</v>
      </c>
      <c r="E26" s="307" t="s">
        <v>548</v>
      </c>
    </row>
    <row r="27" ht="15.75" customHeight="1">
      <c r="A27" s="312"/>
      <c r="B27" s="313" t="s">
        <v>551</v>
      </c>
      <c r="C27" s="334">
        <v>44600</v>
      </c>
      <c r="D27" s="315" t="s">
        <v>552</v>
      </c>
      <c r="E27" s="307" t="s">
        <v>548</v>
      </c>
    </row>
    <row r="28" ht="15.75" customHeight="1">
      <c r="A28" s="304" t="s">
        <v>17</v>
      </c>
      <c r="B28" s="305" t="s">
        <v>553</v>
      </c>
      <c r="C28" s="317">
        <v>44582</v>
      </c>
      <c r="D28" s="306" t="s">
        <v>554</v>
      </c>
      <c r="E28" s="307" t="s">
        <v>555</v>
      </c>
    </row>
    <row r="29" ht="15.75" customHeight="1">
      <c r="A29" s="308"/>
      <c r="B29" s="309" t="s">
        <v>556</v>
      </c>
      <c r="C29" s="335">
        <v>44620</v>
      </c>
      <c r="D29" s="310" t="s">
        <v>557</v>
      </c>
      <c r="E29" s="311" t="s">
        <v>558</v>
      </c>
    </row>
    <row r="30" ht="15.75" customHeight="1">
      <c r="A30" s="308"/>
      <c r="B30" s="309" t="s">
        <v>559</v>
      </c>
      <c r="C30" s="336">
        <v>44677</v>
      </c>
      <c r="D30" s="310" t="s">
        <v>560</v>
      </c>
      <c r="E30" s="311" t="s">
        <v>561</v>
      </c>
    </row>
    <row r="31" ht="15.75" customHeight="1">
      <c r="A31" s="312"/>
      <c r="B31" s="337"/>
      <c r="C31" s="338"/>
      <c r="D31" s="339"/>
      <c r="E31" s="340"/>
    </row>
    <row r="32" ht="15.75" customHeight="1">
      <c r="A32" s="341" t="s">
        <v>19</v>
      </c>
      <c r="B32" s="305" t="s">
        <v>562</v>
      </c>
      <c r="C32" s="317">
        <v>44587</v>
      </c>
      <c r="D32" s="306" t="s">
        <v>563</v>
      </c>
      <c r="E32" s="307" t="s">
        <v>564</v>
      </c>
    </row>
    <row r="33" ht="15.75" customHeight="1">
      <c r="A33" s="308"/>
      <c r="B33" s="309" t="s">
        <v>565</v>
      </c>
      <c r="C33" s="318">
        <v>44602</v>
      </c>
      <c r="D33" s="310" t="s">
        <v>566</v>
      </c>
      <c r="E33" s="311" t="s">
        <v>567</v>
      </c>
    </row>
    <row r="34" ht="15.75" customHeight="1">
      <c r="A34" s="308"/>
      <c r="B34" s="309"/>
      <c r="C34" s="310"/>
      <c r="D34" s="310"/>
      <c r="E34" s="311"/>
    </row>
    <row r="35" ht="15.75" customHeight="1">
      <c r="A35" s="308"/>
      <c r="B35" s="309"/>
      <c r="C35" s="310"/>
      <c r="D35" s="310"/>
      <c r="E35" s="311"/>
    </row>
    <row r="36" ht="15.75" customHeight="1">
      <c r="A36" s="312"/>
      <c r="B36" s="313"/>
      <c r="C36" s="342"/>
      <c r="D36" s="315"/>
      <c r="E36" s="316"/>
    </row>
    <row r="37" ht="15.75" customHeight="1">
      <c r="A37" s="304" t="s">
        <v>20</v>
      </c>
      <c r="B37" s="305" t="s">
        <v>568</v>
      </c>
      <c r="C37" s="343">
        <v>44579</v>
      </c>
      <c r="D37" s="305" t="s">
        <v>569</v>
      </c>
      <c r="E37" s="307" t="s">
        <v>570</v>
      </c>
    </row>
    <row r="38" ht="15.75" customHeight="1">
      <c r="A38" s="308"/>
      <c r="B38" s="309" t="s">
        <v>571</v>
      </c>
      <c r="C38" s="344">
        <v>44586</v>
      </c>
      <c r="D38" s="309" t="s">
        <v>563</v>
      </c>
      <c r="E38" s="311" t="s">
        <v>572</v>
      </c>
    </row>
    <row r="39" ht="15.75" customHeight="1">
      <c r="A39" s="308"/>
      <c r="B39" s="309"/>
      <c r="C39" s="345"/>
      <c r="D39" s="309"/>
      <c r="E39" s="311"/>
    </row>
    <row r="40" ht="15.75" customHeight="1">
      <c r="A40" s="312"/>
      <c r="B40" s="313"/>
      <c r="C40" s="313"/>
      <c r="D40" s="313"/>
      <c r="E40" s="31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25:A27"/>
    <mergeCell ref="A28:A31"/>
    <mergeCell ref="A32:A36"/>
    <mergeCell ref="A37:A40"/>
    <mergeCell ref="F2:K2"/>
    <mergeCell ref="L2:Q2"/>
    <mergeCell ref="R2:W2"/>
    <mergeCell ref="X2:AC2"/>
    <mergeCell ref="A15:A18"/>
    <mergeCell ref="A19:A22"/>
    <mergeCell ref="A23:A24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showRuler="1" zoomScale="100" workbookViewId="0">
      <pane xSplit="5" topLeftCell="F1" activePane="topRight" state="frozen"/>
      <selection activeCell="G2" activeCellId="0" sqref="G2"/>
    </sheetView>
  </sheetViews>
  <sheetFormatPr defaultColWidth="12.630000000000001" defaultRowHeight="15" customHeight="1"/>
  <cols>
    <col customWidth="1" min="1" max="1" width="12.5"/>
    <col customWidth="1" min="2" max="2" width="11.130000000000001"/>
    <col customWidth="1" min="3" max="3" width="9.6300000000000008"/>
    <col customWidth="1" min="4" max="4" width="11.130000000000001"/>
    <col customWidth="1" min="5" max="6" width="18.629999999999999"/>
    <col customWidth="1" min="7" max="7" width="9.3800000000000008"/>
    <col customWidth="1" min="8" max="8" width="11.25"/>
    <col customWidth="1" min="9" max="12" width="10.630000000000001"/>
    <col customWidth="1" min="13" max="13" width="8.6300000000000008"/>
    <col customWidth="1" min="14" max="14" width="9.75"/>
    <col customWidth="1" min="15" max="15" width="7.3799999999999999"/>
    <col customWidth="1" min="16" max="16" width="13.25"/>
    <col customWidth="1" min="17" max="17" width="10.630000000000001"/>
    <col customWidth="1" min="18" max="18" width="14.25"/>
    <col customWidth="1" min="19" max="19" width="10.630000000000001"/>
    <col customWidth="1" min="20" max="20" width="11.5"/>
    <col customWidth="1" min="21" max="22" width="10.380000000000001"/>
    <col customWidth="1" min="23" max="23" width="14.25"/>
    <col customWidth="1" min="24" max="24" width="20.25"/>
    <col customWidth="1" min="25" max="41" width="11.130000000000001"/>
  </cols>
  <sheetData>
    <row r="1" ht="15.75" customHeight="1">
      <c r="U1" s="346" t="s">
        <v>573</v>
      </c>
      <c r="V1" s="1"/>
    </row>
    <row r="2" ht="15.75" customHeight="1">
      <c r="C2" s="280"/>
      <c r="F2" s="347" t="s">
        <v>574</v>
      </c>
      <c r="G2" s="5"/>
      <c r="H2" s="5"/>
      <c r="I2" s="5"/>
      <c r="J2" s="5"/>
      <c r="K2" s="6"/>
      <c r="L2" s="347" t="s">
        <v>575</v>
      </c>
      <c r="M2" s="5"/>
      <c r="N2" s="5"/>
      <c r="O2" s="5"/>
      <c r="P2" s="5"/>
      <c r="Q2" s="6"/>
      <c r="R2" s="348" t="s">
        <v>576</v>
      </c>
      <c r="S2" s="5"/>
      <c r="T2" s="5"/>
      <c r="U2" s="5"/>
      <c r="V2" s="5"/>
      <c r="W2" s="5"/>
      <c r="X2" s="6"/>
      <c r="Y2" s="349" t="s">
        <v>577</v>
      </c>
      <c r="Z2" s="5"/>
      <c r="AA2" s="5"/>
      <c r="AB2" s="5"/>
      <c r="AC2" s="5"/>
      <c r="AD2" s="6"/>
      <c r="AE2" s="349" t="s">
        <v>578</v>
      </c>
      <c r="AF2" s="5"/>
      <c r="AG2" s="5"/>
      <c r="AH2" s="5"/>
      <c r="AI2" s="5"/>
      <c r="AJ2" s="6"/>
    </row>
    <row r="3" ht="15.75" customHeight="1">
      <c r="A3" s="142" t="s">
        <v>2</v>
      </c>
      <c r="B3" s="284" t="s">
        <v>579</v>
      </c>
      <c r="C3" s="284" t="s">
        <v>580</v>
      </c>
      <c r="D3" s="284" t="s">
        <v>522</v>
      </c>
      <c r="E3" s="284" t="s">
        <v>581</v>
      </c>
      <c r="F3" s="350" t="s">
        <v>524</v>
      </c>
      <c r="G3" s="287" t="s">
        <v>582</v>
      </c>
      <c r="H3" s="287" t="s">
        <v>583</v>
      </c>
      <c r="I3" s="287" t="s">
        <v>527</v>
      </c>
      <c r="J3" s="287" t="s">
        <v>528</v>
      </c>
      <c r="K3" s="351" t="s">
        <v>529</v>
      </c>
      <c r="L3" s="352" t="s">
        <v>524</v>
      </c>
      <c r="M3" s="353" t="s">
        <v>584</v>
      </c>
      <c r="N3" s="353" t="s">
        <v>585</v>
      </c>
      <c r="O3" s="353" t="s">
        <v>527</v>
      </c>
      <c r="P3" s="352" t="s">
        <v>586</v>
      </c>
      <c r="Q3" s="354" t="s">
        <v>587</v>
      </c>
      <c r="R3" s="350" t="s">
        <v>524</v>
      </c>
      <c r="S3" s="287" t="s">
        <v>588</v>
      </c>
      <c r="T3" s="287" t="s">
        <v>589</v>
      </c>
      <c r="U3" s="287" t="s">
        <v>527</v>
      </c>
      <c r="V3" s="355" t="s">
        <v>590</v>
      </c>
      <c r="W3" s="350" t="s">
        <v>586</v>
      </c>
      <c r="X3" s="351" t="s">
        <v>587</v>
      </c>
      <c r="Y3" s="356" t="s">
        <v>524</v>
      </c>
      <c r="Z3" s="357" t="s">
        <v>591</v>
      </c>
      <c r="AA3" s="357" t="s">
        <v>592</v>
      </c>
      <c r="AB3" s="357" t="s">
        <v>527</v>
      </c>
      <c r="AC3" s="356" t="s">
        <v>586</v>
      </c>
      <c r="AD3" s="358" t="s">
        <v>587</v>
      </c>
      <c r="AE3" s="356" t="s">
        <v>593</v>
      </c>
      <c r="AF3" s="357" t="s">
        <v>594</v>
      </c>
      <c r="AG3" s="357" t="s">
        <v>595</v>
      </c>
      <c r="AH3" s="357" t="s">
        <v>527</v>
      </c>
      <c r="AI3" s="356" t="s">
        <v>586</v>
      </c>
      <c r="AJ3" s="358" t="s">
        <v>587</v>
      </c>
      <c r="AK3" s="303"/>
      <c r="AL3" s="303"/>
      <c r="AM3" s="303"/>
      <c r="AN3" s="303"/>
      <c r="AO3" s="303"/>
    </row>
    <row r="4" ht="15.75" customHeight="1">
      <c r="A4" s="11" t="s">
        <v>11</v>
      </c>
      <c r="B4" s="289">
        <v>14</v>
      </c>
      <c r="C4" s="359">
        <f t="shared" ref="C4:C11" si="238">W4/B4</f>
        <v>0.42857142857142855</v>
      </c>
      <c r="D4" s="291">
        <v>3</v>
      </c>
      <c r="E4" s="360">
        <f t="shared" ref="E4:E11" si="239">D4/W4</f>
        <v>0.5</v>
      </c>
      <c r="F4" s="293">
        <v>5</v>
      </c>
      <c r="G4" s="293">
        <v>4</v>
      </c>
      <c r="H4" s="293">
        <v>0</v>
      </c>
      <c r="I4" s="293">
        <v>0</v>
      </c>
      <c r="J4" s="293">
        <v>5</v>
      </c>
      <c r="K4" s="361">
        <f t="shared" ref="K4:K10" si="240">G4-H4</f>
        <v>4</v>
      </c>
      <c r="L4" s="108">
        <f t="shared" ref="L4:L10" si="241">J4</f>
        <v>5</v>
      </c>
      <c r="M4" s="108">
        <f>5+K4</f>
        <v>9</v>
      </c>
      <c r="N4" s="12">
        <v>2</v>
      </c>
      <c r="O4" s="12">
        <v>0</v>
      </c>
      <c r="P4" s="12">
        <v>6</v>
      </c>
      <c r="Q4" s="362">
        <f t="shared" ref="Q4:Q8" si="242">M4-N4</f>
        <v>7</v>
      </c>
      <c r="R4" s="363">
        <f t="shared" ref="R4:S9" si="243">P4</f>
        <v>6</v>
      </c>
      <c r="S4" s="363">
        <f t="shared" si="243"/>
        <v>7</v>
      </c>
      <c r="T4" s="364">
        <v>1</v>
      </c>
      <c r="U4" s="364"/>
      <c r="V4" s="364">
        <v>6</v>
      </c>
      <c r="W4" s="364">
        <v>6</v>
      </c>
      <c r="X4" s="365">
        <v>8</v>
      </c>
      <c r="Y4" s="366">
        <f t="shared" ref="Y4:Z9" si="244">W4</f>
        <v>6</v>
      </c>
      <c r="Z4" s="366">
        <f t="shared" si="244"/>
        <v>8</v>
      </c>
      <c r="AA4" s="367"/>
      <c r="AB4" s="367"/>
      <c r="AC4" s="368">
        <v>6</v>
      </c>
      <c r="AD4" s="369"/>
      <c r="AE4" s="366">
        <v>5</v>
      </c>
      <c r="AF4" s="366">
        <f>AD4</f>
        <v>0</v>
      </c>
      <c r="AG4" s="367"/>
      <c r="AH4" s="367"/>
      <c r="AI4" s="368"/>
      <c r="AJ4" s="369"/>
    </row>
    <row r="5" ht="15.75" customHeight="1">
      <c r="A5" s="11" t="s">
        <v>13</v>
      </c>
      <c r="B5" s="289">
        <v>14</v>
      </c>
      <c r="C5" s="359">
        <f t="shared" si="238"/>
        <v>0.5714285714285714</v>
      </c>
      <c r="D5" s="291">
        <v>4</v>
      </c>
      <c r="E5" s="360">
        <f t="shared" si="239"/>
        <v>0.5</v>
      </c>
      <c r="F5" s="293">
        <v>6</v>
      </c>
      <c r="G5" s="293">
        <v>4</v>
      </c>
      <c r="H5" s="293">
        <v>0</v>
      </c>
      <c r="I5" s="293">
        <v>0</v>
      </c>
      <c r="J5" s="293">
        <v>5</v>
      </c>
      <c r="K5" s="361">
        <f t="shared" si="240"/>
        <v>4</v>
      </c>
      <c r="L5" s="108">
        <f t="shared" si="241"/>
        <v>5</v>
      </c>
      <c r="M5" s="108">
        <f>4+K5</f>
        <v>8</v>
      </c>
      <c r="N5" s="12">
        <v>4</v>
      </c>
      <c r="O5" s="12"/>
      <c r="P5" s="12">
        <v>8</v>
      </c>
      <c r="Q5" s="362">
        <f t="shared" si="242"/>
        <v>4</v>
      </c>
      <c r="R5" s="363">
        <f t="shared" si="243"/>
        <v>8</v>
      </c>
      <c r="S5" s="363">
        <f>Q5+2</f>
        <v>6</v>
      </c>
      <c r="T5" s="364">
        <v>0</v>
      </c>
      <c r="U5" s="364">
        <v>1</v>
      </c>
      <c r="V5" s="364">
        <v>8</v>
      </c>
      <c r="W5" s="364">
        <v>8</v>
      </c>
      <c r="X5" s="365">
        <v>6</v>
      </c>
      <c r="Y5" s="366">
        <v>8</v>
      </c>
      <c r="Z5" s="366">
        <v>6</v>
      </c>
      <c r="AA5" s="367">
        <v>1</v>
      </c>
      <c r="AB5" s="367"/>
      <c r="AC5" s="368">
        <v>7</v>
      </c>
      <c r="AD5" s="369">
        <v>8</v>
      </c>
      <c r="AE5" s="366">
        <v>7</v>
      </c>
      <c r="AF5" s="366">
        <v>8</v>
      </c>
      <c r="AG5" s="367">
        <v>1</v>
      </c>
      <c r="AH5" s="367">
        <v>0</v>
      </c>
      <c r="AI5" s="368"/>
      <c r="AJ5" s="369"/>
    </row>
    <row r="6" ht="15.75" customHeight="1">
      <c r="A6" s="11" t="s">
        <v>15</v>
      </c>
      <c r="B6" s="289">
        <v>15</v>
      </c>
      <c r="C6" s="359">
        <f t="shared" si="238"/>
        <v>0.46666666666666667</v>
      </c>
      <c r="D6" s="291">
        <v>0</v>
      </c>
      <c r="E6" s="360">
        <f t="shared" si="239"/>
        <v>0</v>
      </c>
      <c r="F6" s="293">
        <v>5</v>
      </c>
      <c r="G6" s="293">
        <v>4</v>
      </c>
      <c r="H6" s="293">
        <v>1</v>
      </c>
      <c r="I6" s="293">
        <v>0</v>
      </c>
      <c r="J6" s="293">
        <v>6</v>
      </c>
      <c r="K6" s="361">
        <f t="shared" si="240"/>
        <v>3</v>
      </c>
      <c r="L6" s="108">
        <f t="shared" si="241"/>
        <v>6</v>
      </c>
      <c r="M6" s="108">
        <f>5+K6</f>
        <v>8</v>
      </c>
      <c r="N6" s="12">
        <v>1</v>
      </c>
      <c r="O6" s="12">
        <v>0</v>
      </c>
      <c r="P6" s="12">
        <v>7</v>
      </c>
      <c r="Q6" s="362">
        <f t="shared" si="242"/>
        <v>7</v>
      </c>
      <c r="R6" s="363">
        <f t="shared" si="243"/>
        <v>7</v>
      </c>
      <c r="S6" s="363">
        <f t="shared" ref="S6:S7" si="245">Q6</f>
        <v>7</v>
      </c>
      <c r="T6" s="364"/>
      <c r="U6" s="364"/>
      <c r="V6" s="364">
        <v>7</v>
      </c>
      <c r="W6" s="364">
        <v>7</v>
      </c>
      <c r="X6" s="365">
        <v>8</v>
      </c>
      <c r="Y6" s="366">
        <f t="shared" si="244"/>
        <v>7</v>
      </c>
      <c r="Z6" s="366">
        <f t="shared" si="244"/>
        <v>8</v>
      </c>
      <c r="AA6" s="368">
        <v>2</v>
      </c>
      <c r="AB6" s="367"/>
      <c r="AC6" s="368"/>
      <c r="AD6" s="369"/>
      <c r="AE6" s="366"/>
      <c r="AF6" s="366"/>
      <c r="AG6" s="368"/>
      <c r="AH6" s="367"/>
      <c r="AI6" s="368"/>
      <c r="AJ6" s="369"/>
    </row>
    <row r="7" ht="15.75" customHeight="1">
      <c r="A7" s="11" t="s">
        <v>16</v>
      </c>
      <c r="B7" s="289">
        <v>14</v>
      </c>
      <c r="C7" s="359">
        <f t="shared" si="238"/>
        <v>0.8571428571428571</v>
      </c>
      <c r="D7" s="291">
        <v>2</v>
      </c>
      <c r="E7" s="360">
        <f t="shared" si="239"/>
        <v>0.16666666666666666</v>
      </c>
      <c r="F7" s="293">
        <v>6</v>
      </c>
      <c r="G7" s="293">
        <v>4</v>
      </c>
      <c r="H7" s="293">
        <v>2</v>
      </c>
      <c r="I7" s="293">
        <v>0</v>
      </c>
      <c r="J7" s="293">
        <v>8</v>
      </c>
      <c r="K7" s="361">
        <f t="shared" si="240"/>
        <v>2</v>
      </c>
      <c r="L7" s="108">
        <f t="shared" si="241"/>
        <v>8</v>
      </c>
      <c r="M7" s="108">
        <f>4+K7</f>
        <v>6</v>
      </c>
      <c r="N7" s="12">
        <v>2</v>
      </c>
      <c r="O7" s="12"/>
      <c r="P7" s="12">
        <v>10</v>
      </c>
      <c r="Q7" s="362">
        <f t="shared" si="242"/>
        <v>4</v>
      </c>
      <c r="R7" s="363">
        <f t="shared" si="243"/>
        <v>10</v>
      </c>
      <c r="S7" s="363">
        <f t="shared" si="245"/>
        <v>4</v>
      </c>
      <c r="T7" s="364">
        <v>2</v>
      </c>
      <c r="U7" s="364"/>
      <c r="V7" s="364">
        <v>12</v>
      </c>
      <c r="W7" s="364">
        <v>12</v>
      </c>
      <c r="X7" s="365">
        <v>2</v>
      </c>
      <c r="Y7" s="366">
        <f t="shared" si="244"/>
        <v>12</v>
      </c>
      <c r="Z7" s="366">
        <f t="shared" si="244"/>
        <v>2</v>
      </c>
      <c r="AA7" s="367"/>
      <c r="AB7" s="367"/>
      <c r="AC7" s="368"/>
      <c r="AD7" s="369"/>
      <c r="AE7" s="366"/>
      <c r="AF7" s="366"/>
      <c r="AG7" s="367"/>
      <c r="AH7" s="367"/>
      <c r="AI7" s="368"/>
      <c r="AJ7" s="369"/>
    </row>
    <row r="8" ht="15.75" customHeight="1">
      <c r="A8" s="11" t="s">
        <v>17</v>
      </c>
      <c r="B8" s="289">
        <v>14</v>
      </c>
      <c r="C8" s="359">
        <f t="shared" si="238"/>
        <v>0.6428571428571429</v>
      </c>
      <c r="D8" s="291">
        <v>3</v>
      </c>
      <c r="E8" s="360">
        <f t="shared" si="239"/>
        <v>0.33333333333333331</v>
      </c>
      <c r="F8" s="293">
        <v>8</v>
      </c>
      <c r="G8" s="293">
        <v>4</v>
      </c>
      <c r="H8" s="293">
        <v>4</v>
      </c>
      <c r="I8" s="293">
        <v>0</v>
      </c>
      <c r="J8" s="293">
        <v>12</v>
      </c>
      <c r="K8" s="361">
        <f t="shared" si="240"/>
        <v>0</v>
      </c>
      <c r="L8" s="108">
        <f t="shared" si="241"/>
        <v>12</v>
      </c>
      <c r="M8" s="108">
        <f t="shared" ref="M8:M9" si="246">1+K8</f>
        <v>1</v>
      </c>
      <c r="N8" s="12">
        <v>0</v>
      </c>
      <c r="O8" s="12"/>
      <c r="P8" s="12">
        <v>12</v>
      </c>
      <c r="Q8" s="362">
        <f t="shared" si="242"/>
        <v>1</v>
      </c>
      <c r="R8" s="363">
        <v>12</v>
      </c>
      <c r="S8" s="363">
        <v>2</v>
      </c>
      <c r="T8" s="364"/>
      <c r="U8" s="364">
        <v>1</v>
      </c>
      <c r="V8" s="364">
        <v>9</v>
      </c>
      <c r="W8" s="364">
        <v>9</v>
      </c>
      <c r="X8" s="365"/>
      <c r="Y8" s="366">
        <v>9</v>
      </c>
      <c r="Z8" s="366">
        <v>5</v>
      </c>
      <c r="AA8" s="367">
        <v>4</v>
      </c>
      <c r="AB8" s="367"/>
      <c r="AC8" s="368">
        <v>8</v>
      </c>
      <c r="AD8" s="369">
        <v>6</v>
      </c>
      <c r="AE8" s="366">
        <v>8.5</v>
      </c>
      <c r="AF8" s="366">
        <v>6</v>
      </c>
      <c r="AG8" s="367"/>
      <c r="AH8" s="367"/>
      <c r="AI8" s="368"/>
      <c r="AJ8" s="369"/>
    </row>
    <row r="9" ht="15.75" customHeight="1">
      <c r="A9" s="11" t="s">
        <v>19</v>
      </c>
      <c r="B9" s="289">
        <v>13</v>
      </c>
      <c r="C9" s="359">
        <f t="shared" si="238"/>
        <v>0.65384615384615385</v>
      </c>
      <c r="D9" s="291">
        <v>3</v>
      </c>
      <c r="E9" s="360">
        <f t="shared" si="239"/>
        <v>0.35294117647058826</v>
      </c>
      <c r="F9" s="293">
        <v>7</v>
      </c>
      <c r="G9" s="293">
        <v>5</v>
      </c>
      <c r="H9" s="293">
        <v>3</v>
      </c>
      <c r="I9" s="293">
        <v>0</v>
      </c>
      <c r="J9" s="293">
        <v>10</v>
      </c>
      <c r="K9" s="361">
        <f t="shared" si="240"/>
        <v>2</v>
      </c>
      <c r="L9" s="108">
        <f t="shared" si="241"/>
        <v>10</v>
      </c>
      <c r="M9" s="108">
        <f t="shared" si="246"/>
        <v>3</v>
      </c>
      <c r="N9" s="12">
        <v>2</v>
      </c>
      <c r="O9" s="12"/>
      <c r="P9" s="12">
        <v>11</v>
      </c>
      <c r="Q9" s="362">
        <v>2</v>
      </c>
      <c r="R9" s="363">
        <f t="shared" si="243"/>
        <v>11</v>
      </c>
      <c r="S9" s="363">
        <f t="shared" si="243"/>
        <v>2</v>
      </c>
      <c r="T9" s="364">
        <v>1.5</v>
      </c>
      <c r="U9" s="364"/>
      <c r="V9" s="364">
        <v>11.5</v>
      </c>
      <c r="W9" s="364">
        <v>8.5</v>
      </c>
      <c r="X9" s="370">
        <v>5.5</v>
      </c>
      <c r="Y9" s="366">
        <f t="shared" si="244"/>
        <v>8.5</v>
      </c>
      <c r="Z9" s="366">
        <f t="shared" si="244"/>
        <v>5.5</v>
      </c>
      <c r="AA9" s="367"/>
      <c r="AB9" s="367"/>
      <c r="AC9" s="367">
        <v>8.5</v>
      </c>
      <c r="AD9" s="368">
        <v>4.5</v>
      </c>
      <c r="AE9" s="366">
        <v>4</v>
      </c>
      <c r="AF9" s="366">
        <v>1</v>
      </c>
      <c r="AG9" s="367"/>
      <c r="AH9" s="367"/>
      <c r="AI9" s="367"/>
      <c r="AJ9" s="368"/>
    </row>
    <row r="10" ht="15.75" customHeight="1">
      <c r="A10" s="11" t="s">
        <v>20</v>
      </c>
      <c r="B10" s="289">
        <v>6</v>
      </c>
      <c r="C10" s="359">
        <f t="shared" si="238"/>
        <v>0.5</v>
      </c>
      <c r="D10" s="291">
        <v>2</v>
      </c>
      <c r="E10" s="360">
        <f t="shared" si="239"/>
        <v>0.66666666666666663</v>
      </c>
      <c r="F10" s="293">
        <v>4</v>
      </c>
      <c r="G10" s="293">
        <v>1</v>
      </c>
      <c r="H10" s="293">
        <v>0</v>
      </c>
      <c r="I10" s="293">
        <v>0</v>
      </c>
      <c r="J10" s="293">
        <v>3</v>
      </c>
      <c r="K10" s="361">
        <f t="shared" si="240"/>
        <v>1</v>
      </c>
      <c r="L10" s="108">
        <f t="shared" si="241"/>
        <v>3</v>
      </c>
      <c r="M10" s="108">
        <f>0+K10</f>
        <v>1</v>
      </c>
      <c r="N10" s="12">
        <v>0</v>
      </c>
      <c r="O10" s="12"/>
      <c r="P10" s="12">
        <v>2</v>
      </c>
      <c r="Q10" s="362">
        <f>M10-N10</f>
        <v>1</v>
      </c>
      <c r="R10" s="363">
        <f t="shared" ref="R10:S10" si="247">P10</f>
        <v>2</v>
      </c>
      <c r="S10" s="363">
        <f t="shared" si="247"/>
        <v>1</v>
      </c>
      <c r="T10" s="364"/>
      <c r="U10" s="364"/>
      <c r="V10" s="364">
        <v>3</v>
      </c>
      <c r="W10" s="364">
        <v>3</v>
      </c>
      <c r="X10" s="365">
        <v>3</v>
      </c>
      <c r="Y10" s="366">
        <f t="shared" ref="Y10:Z10" si="248">W10</f>
        <v>3</v>
      </c>
      <c r="Z10" s="366">
        <f t="shared" si="248"/>
        <v>3</v>
      </c>
      <c r="AA10" s="367"/>
      <c r="AB10" s="367">
        <v>1</v>
      </c>
      <c r="AC10" s="368">
        <v>4</v>
      </c>
      <c r="AD10" s="369">
        <v>2</v>
      </c>
      <c r="AE10" s="366">
        <f t="shared" ref="AE10:AF10" si="249">AC10</f>
        <v>4</v>
      </c>
      <c r="AF10" s="366">
        <f t="shared" si="249"/>
        <v>2</v>
      </c>
      <c r="AG10" s="367"/>
      <c r="AH10" s="367"/>
      <c r="AI10" s="368"/>
      <c r="AJ10" s="369"/>
    </row>
    <row r="11" ht="15.75" customHeight="1">
      <c r="A11" s="295" t="s">
        <v>22</v>
      </c>
      <c r="B11" s="295">
        <f>SUM(B4:B10)</f>
        <v>90</v>
      </c>
      <c r="C11" s="371">
        <f t="shared" si="238"/>
        <v>0.59444444444444444</v>
      </c>
      <c r="D11" s="297">
        <f>SUM(D4:D10)</f>
        <v>17</v>
      </c>
      <c r="E11" s="372">
        <f t="shared" si="239"/>
        <v>0.31775700934579437</v>
      </c>
      <c r="F11" s="295">
        <f t="shared" ref="F11:AD11" si="250">SUM(F4:F10)</f>
        <v>41</v>
      </c>
      <c r="G11" s="295">
        <f t="shared" si="250"/>
        <v>26</v>
      </c>
      <c r="H11" s="295">
        <f t="shared" si="250"/>
        <v>10</v>
      </c>
      <c r="I11" s="295">
        <f t="shared" si="250"/>
        <v>0</v>
      </c>
      <c r="J11" s="295">
        <f t="shared" si="250"/>
        <v>49</v>
      </c>
      <c r="K11" s="295">
        <f t="shared" si="250"/>
        <v>16</v>
      </c>
      <c r="L11" s="295">
        <f t="shared" si="250"/>
        <v>49</v>
      </c>
      <c r="M11" s="295">
        <f t="shared" si="250"/>
        <v>36</v>
      </c>
      <c r="N11" s="295">
        <f t="shared" si="250"/>
        <v>11</v>
      </c>
      <c r="O11" s="295">
        <f t="shared" si="250"/>
        <v>0</v>
      </c>
      <c r="P11" s="295">
        <f t="shared" si="250"/>
        <v>56</v>
      </c>
      <c r="Q11" s="295">
        <f t="shared" si="250"/>
        <v>26</v>
      </c>
      <c r="R11" s="295">
        <f t="shared" si="250"/>
        <v>56</v>
      </c>
      <c r="S11" s="295">
        <f t="shared" si="250"/>
        <v>29</v>
      </c>
      <c r="T11" s="295">
        <f t="shared" si="250"/>
        <v>4.5</v>
      </c>
      <c r="U11" s="295">
        <f t="shared" si="250"/>
        <v>2</v>
      </c>
      <c r="V11" s="295">
        <f t="shared" si="250"/>
        <v>56.5</v>
      </c>
      <c r="W11" s="295">
        <f t="shared" si="250"/>
        <v>53.5</v>
      </c>
      <c r="X11" s="295">
        <f t="shared" si="250"/>
        <v>32.5</v>
      </c>
      <c r="Y11" s="295">
        <f t="shared" si="250"/>
        <v>53.5</v>
      </c>
      <c r="Z11" s="295">
        <f t="shared" si="250"/>
        <v>37.5</v>
      </c>
      <c r="AA11" s="295">
        <f t="shared" si="250"/>
        <v>7</v>
      </c>
      <c r="AB11" s="295">
        <f t="shared" si="250"/>
        <v>1</v>
      </c>
      <c r="AC11" s="295">
        <f t="shared" si="250"/>
        <v>33.5</v>
      </c>
      <c r="AD11" s="295">
        <f t="shared" si="250"/>
        <v>20.5</v>
      </c>
      <c r="AE11" s="373"/>
      <c r="AF11" s="373"/>
      <c r="AG11" s="373"/>
      <c r="AH11" s="373"/>
      <c r="AI11" s="373"/>
      <c r="AJ11" s="373"/>
      <c r="AK11" s="243"/>
      <c r="AL11" s="243"/>
      <c r="AM11" s="243"/>
      <c r="AN11" s="243"/>
      <c r="AO11" s="243"/>
    </row>
    <row r="12" ht="15.75" customHeight="1"/>
    <row r="13" ht="15.75" customHeight="1">
      <c r="B13" s="301" t="s">
        <v>530</v>
      </c>
    </row>
    <row r="14" ht="15.75" customHeight="1">
      <c r="A14" s="374"/>
      <c r="B14" s="374" t="s">
        <v>209</v>
      </c>
      <c r="C14" s="374" t="s">
        <v>370</v>
      </c>
      <c r="D14" s="374" t="s">
        <v>531</v>
      </c>
      <c r="E14" s="374" t="s">
        <v>532</v>
      </c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</row>
    <row r="15" ht="15.75" customHeight="1">
      <c r="A15" s="161" t="s">
        <v>11</v>
      </c>
      <c r="B15" s="309" t="s">
        <v>596</v>
      </c>
      <c r="C15" s="310" t="s">
        <v>88</v>
      </c>
      <c r="D15" s="310" t="s">
        <v>597</v>
      </c>
      <c r="E15" s="309" t="s">
        <v>598</v>
      </c>
    </row>
    <row r="16" ht="15.75" customHeight="1">
      <c r="A16" s="168"/>
      <c r="B16" s="309" t="s">
        <v>599</v>
      </c>
      <c r="C16" s="310" t="s">
        <v>90</v>
      </c>
      <c r="D16" s="310" t="s">
        <v>600</v>
      </c>
      <c r="E16" s="309" t="s">
        <v>601</v>
      </c>
    </row>
    <row r="17" ht="15.75" customHeight="1">
      <c r="A17" s="168"/>
      <c r="B17" s="309" t="s">
        <v>602</v>
      </c>
      <c r="C17" s="310" t="s">
        <v>90</v>
      </c>
      <c r="D17" s="310" t="s">
        <v>603</v>
      </c>
      <c r="E17" s="309" t="s">
        <v>604</v>
      </c>
    </row>
    <row r="18" ht="15.75" customHeight="1">
      <c r="A18" s="8"/>
      <c r="B18" s="309" t="s">
        <v>605</v>
      </c>
      <c r="C18" s="375">
        <v>44540</v>
      </c>
      <c r="D18" s="310" t="s">
        <v>537</v>
      </c>
      <c r="E18" s="309" t="s">
        <v>606</v>
      </c>
    </row>
    <row r="19" ht="15.75" customHeight="1">
      <c r="A19" s="161" t="s">
        <v>13</v>
      </c>
      <c r="B19" s="309" t="s">
        <v>607</v>
      </c>
      <c r="C19" s="310" t="s">
        <v>90</v>
      </c>
      <c r="D19" s="310" t="s">
        <v>608</v>
      </c>
      <c r="E19" s="309" t="s">
        <v>609</v>
      </c>
    </row>
    <row r="20" ht="15.75" customHeight="1">
      <c r="A20" s="168"/>
      <c r="B20" s="309" t="s">
        <v>610</v>
      </c>
      <c r="C20" s="310" t="s">
        <v>89</v>
      </c>
      <c r="D20" s="310" t="s">
        <v>611</v>
      </c>
      <c r="E20" s="309" t="s">
        <v>612</v>
      </c>
    </row>
    <row r="21" ht="15.75" customHeight="1">
      <c r="A21" s="168"/>
      <c r="B21" s="309" t="s">
        <v>613</v>
      </c>
      <c r="C21" s="310" t="s">
        <v>92</v>
      </c>
      <c r="D21" s="310" t="s">
        <v>614</v>
      </c>
      <c r="E21" s="309" t="s">
        <v>615</v>
      </c>
    </row>
    <row r="22" ht="15.75" customHeight="1">
      <c r="A22" s="8"/>
      <c r="B22" s="11" t="s">
        <v>616</v>
      </c>
      <c r="C22" s="11" t="s">
        <v>92</v>
      </c>
      <c r="D22" s="11" t="s">
        <v>617</v>
      </c>
      <c r="E22" s="11" t="s">
        <v>618</v>
      </c>
    </row>
    <row r="23" ht="15.75" customHeight="1">
      <c r="A23" s="11" t="s">
        <v>15</v>
      </c>
      <c r="B23" s="309"/>
      <c r="C23" s="310"/>
      <c r="D23" s="310"/>
      <c r="E23" s="309"/>
    </row>
    <row r="24" ht="15.75" customHeight="1">
      <c r="A24" s="161" t="s">
        <v>16</v>
      </c>
      <c r="B24" s="309" t="s">
        <v>619</v>
      </c>
      <c r="C24" s="310" t="s">
        <v>88</v>
      </c>
      <c r="D24" s="310" t="s">
        <v>597</v>
      </c>
      <c r="E24" s="309" t="s">
        <v>620</v>
      </c>
    </row>
    <row r="25" ht="15.75" customHeight="1">
      <c r="A25" s="8"/>
      <c r="B25" s="309" t="s">
        <v>621</v>
      </c>
      <c r="C25" s="310" t="s">
        <v>88</v>
      </c>
      <c r="D25" s="310" t="s">
        <v>622</v>
      </c>
      <c r="E25" s="309" t="s">
        <v>623</v>
      </c>
    </row>
    <row r="26" ht="15.75" customHeight="1">
      <c r="A26" s="161" t="s">
        <v>17</v>
      </c>
      <c r="B26" s="309" t="s">
        <v>624</v>
      </c>
      <c r="C26" s="310" t="s">
        <v>625</v>
      </c>
      <c r="D26" s="310" t="s">
        <v>626</v>
      </c>
      <c r="E26" s="309" t="s">
        <v>627</v>
      </c>
    </row>
    <row r="27" ht="15.75" customHeight="1">
      <c r="A27" s="168"/>
      <c r="B27" s="309" t="s">
        <v>628</v>
      </c>
      <c r="C27" s="310" t="s">
        <v>625</v>
      </c>
      <c r="D27" s="310" t="s">
        <v>629</v>
      </c>
      <c r="E27" s="309" t="s">
        <v>630</v>
      </c>
    </row>
    <row r="28" ht="15.75" customHeight="1">
      <c r="A28" s="168"/>
      <c r="B28" s="309" t="s">
        <v>631</v>
      </c>
      <c r="C28" s="310" t="s">
        <v>625</v>
      </c>
      <c r="D28" s="310" t="s">
        <v>632</v>
      </c>
      <c r="E28" s="309" t="s">
        <v>633</v>
      </c>
    </row>
    <row r="29" ht="15.75" customHeight="1">
      <c r="A29" s="168"/>
      <c r="B29" s="309" t="s">
        <v>634</v>
      </c>
      <c r="C29" s="336">
        <v>44523</v>
      </c>
      <c r="D29" s="310" t="s">
        <v>629</v>
      </c>
      <c r="E29" s="309" t="s">
        <v>635</v>
      </c>
    </row>
    <row r="30" ht="15.75" customHeight="1">
      <c r="A30" s="168"/>
      <c r="B30" s="309" t="s">
        <v>636</v>
      </c>
      <c r="C30" s="336">
        <v>44524</v>
      </c>
      <c r="D30" s="310" t="s">
        <v>617</v>
      </c>
      <c r="E30" s="309" t="s">
        <v>637</v>
      </c>
    </row>
    <row r="31" ht="15.75" customHeight="1">
      <c r="A31" s="168"/>
      <c r="B31" s="309" t="s">
        <v>638</v>
      </c>
      <c r="C31" s="336">
        <v>44526</v>
      </c>
      <c r="D31" s="310" t="s">
        <v>617</v>
      </c>
      <c r="E31" s="309" t="s">
        <v>639</v>
      </c>
    </row>
    <row r="32" ht="15.75" customHeight="1">
      <c r="A32" s="168"/>
      <c r="B32" s="309" t="s">
        <v>640</v>
      </c>
      <c r="C32" s="336">
        <v>44551</v>
      </c>
      <c r="D32" s="310" t="s">
        <v>641</v>
      </c>
      <c r="E32" s="309" t="s">
        <v>642</v>
      </c>
    </row>
    <row r="33" ht="15.75" customHeight="1">
      <c r="A33" s="8"/>
      <c r="B33" s="309"/>
      <c r="C33" s="336"/>
      <c r="D33" s="310"/>
      <c r="E33" s="309"/>
    </row>
    <row r="34" ht="15.75" customHeight="1">
      <c r="A34" s="376" t="s">
        <v>19</v>
      </c>
      <c r="B34" s="309" t="s">
        <v>643</v>
      </c>
      <c r="C34" s="310" t="s">
        <v>90</v>
      </c>
      <c r="D34" s="310" t="s">
        <v>545</v>
      </c>
      <c r="E34" s="309" t="s">
        <v>644</v>
      </c>
    </row>
    <row r="35" ht="15.75" customHeight="1">
      <c r="A35" s="168"/>
      <c r="B35" s="309" t="s">
        <v>645</v>
      </c>
      <c r="C35" s="310" t="s">
        <v>625</v>
      </c>
      <c r="D35" s="310" t="s">
        <v>646</v>
      </c>
      <c r="E35" s="309" t="s">
        <v>647</v>
      </c>
    </row>
    <row r="36" ht="15.75" customHeight="1">
      <c r="A36" s="168"/>
      <c r="B36" s="309" t="s">
        <v>648</v>
      </c>
      <c r="C36" s="310" t="s">
        <v>92</v>
      </c>
      <c r="D36" s="310" t="s">
        <v>537</v>
      </c>
      <c r="E36" s="309" t="s">
        <v>649</v>
      </c>
    </row>
    <row r="37" ht="15.75" customHeight="1">
      <c r="A37" s="168"/>
      <c r="B37" s="309" t="s">
        <v>650</v>
      </c>
      <c r="C37" s="310" t="s">
        <v>651</v>
      </c>
      <c r="D37" s="310" t="s">
        <v>652</v>
      </c>
      <c r="E37" s="309" t="s">
        <v>653</v>
      </c>
    </row>
    <row r="38" ht="15.75" customHeight="1">
      <c r="A38" s="8"/>
      <c r="B38" s="309"/>
      <c r="C38" s="377"/>
      <c r="D38" s="310"/>
      <c r="E38" s="309"/>
    </row>
    <row r="39" ht="15.75" customHeight="1">
      <c r="A39" s="161" t="s">
        <v>20</v>
      </c>
      <c r="B39" s="309" t="s">
        <v>654</v>
      </c>
      <c r="C39" s="309" t="s">
        <v>90</v>
      </c>
      <c r="D39" s="309" t="s">
        <v>655</v>
      </c>
      <c r="E39" s="309" t="s">
        <v>656</v>
      </c>
    </row>
    <row r="40" ht="15.75" customHeight="1">
      <c r="A40" s="168"/>
      <c r="B40" s="309" t="s">
        <v>657</v>
      </c>
      <c r="C40" s="344">
        <v>44554</v>
      </c>
      <c r="D40" s="309" t="s">
        <v>658</v>
      </c>
      <c r="E40" s="309" t="s">
        <v>659</v>
      </c>
    </row>
    <row r="41" ht="15.75" customHeight="1">
      <c r="A41" s="168"/>
      <c r="B41" s="309" t="s">
        <v>660</v>
      </c>
      <c r="C41" s="345">
        <v>44579</v>
      </c>
      <c r="D41" s="309" t="s">
        <v>655</v>
      </c>
      <c r="E41" s="309"/>
    </row>
    <row r="42" ht="15.75" customHeight="1">
      <c r="A42" s="8"/>
      <c r="B42" s="309" t="s">
        <v>661</v>
      </c>
      <c r="C42" s="309" t="s">
        <v>89</v>
      </c>
      <c r="D42" s="309"/>
      <c r="E42" s="309" t="s">
        <v>662</v>
      </c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24:A25"/>
    <mergeCell ref="A26:A33"/>
    <mergeCell ref="A34:A38"/>
    <mergeCell ref="A39:A42"/>
    <mergeCell ref="F2:K2"/>
    <mergeCell ref="L2:Q2"/>
    <mergeCell ref="R2:X2"/>
    <mergeCell ref="Y2:AD2"/>
    <mergeCell ref="AE2:AJ2"/>
    <mergeCell ref="A15:A18"/>
    <mergeCell ref="A19:A22"/>
  </mergeCells>
  <hyperlinks>
    <hyperlink r:id="rId1" location="gid=60667583" ref="U1"/>
  </hyperlink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Ruler="1" zoomScale="100" workbookViewId="0">
      <selection activeCell="A1" activeCellId="0" sqref="A1"/>
    </sheetView>
  </sheetViews>
  <sheetFormatPr defaultColWidth="12.630000000000001" defaultRowHeight="15" customHeight="1"/>
  <cols>
    <col customWidth="1" min="1" max="1" width="28.129999999999999"/>
    <col customWidth="1" min="2" max="2" width="9.6300000000000008"/>
    <col customWidth="1" min="3" max="3" width="10.25"/>
    <col customWidth="1" min="4" max="4" width="6.5"/>
    <col customWidth="1" min="5" max="5" width="20"/>
    <col customWidth="1" min="6" max="6" width="14.25"/>
    <col customWidth="1" min="7" max="9" width="9.3800000000000008"/>
    <col customWidth="1" min="10" max="10" width="19.5"/>
    <col customWidth="1" min="11" max="12" width="9.3800000000000008"/>
    <col customWidth="1" min="13" max="13" width="21.129999999999999"/>
    <col customWidth="1" min="14" max="26" width="9.3800000000000008"/>
  </cols>
  <sheetData>
    <row r="1" ht="156" customHeight="1">
      <c r="A1" s="14" t="s">
        <v>23</v>
      </c>
      <c r="E1" s="15" t="s">
        <v>24</v>
      </c>
    </row>
    <row r="2" ht="34.5" customHeight="1">
      <c r="A2" s="16" t="s">
        <v>25</v>
      </c>
    </row>
    <row r="3" ht="12.75" customHeight="1">
      <c r="D3" s="17" t="s">
        <v>26</v>
      </c>
    </row>
    <row r="4" ht="24.75" customHeight="1">
      <c r="A4" s="18" t="s">
        <v>27</v>
      </c>
      <c r="B4" s="14"/>
      <c r="C4" s="14"/>
      <c r="D4" s="19" t="s">
        <v>28</v>
      </c>
      <c r="G4" s="19"/>
    </row>
    <row r="5" ht="63.75" customHeight="1">
      <c r="A5" s="20" t="s">
        <v>29</v>
      </c>
      <c r="B5" s="21" t="s">
        <v>30</v>
      </c>
      <c r="C5" s="21" t="s">
        <v>31</v>
      </c>
      <c r="D5" s="22">
        <v>50</v>
      </c>
      <c r="E5" s="14" t="s">
        <v>32</v>
      </c>
      <c r="F5" s="14" t="s">
        <v>33</v>
      </c>
      <c r="G5" s="19"/>
      <c r="H5" s="19"/>
      <c r="K5" s="19"/>
      <c r="L5" s="14"/>
      <c r="M5" s="14"/>
    </row>
    <row r="6" ht="12.75" customHeight="1">
      <c r="A6" s="23" t="s">
        <v>34</v>
      </c>
      <c r="B6" s="24">
        <v>5</v>
      </c>
      <c r="C6" s="25"/>
      <c r="D6" s="25">
        <f>D5</f>
        <v>50</v>
      </c>
      <c r="E6" s="25">
        <f>B6*D5</f>
        <v>250</v>
      </c>
      <c r="F6" s="25">
        <v>250</v>
      </c>
      <c r="H6" s="26"/>
    </row>
    <row r="7" ht="12.75" customHeight="1">
      <c r="A7" s="23" t="s">
        <v>35</v>
      </c>
      <c r="B7" s="25">
        <v>15</v>
      </c>
      <c r="C7" s="24"/>
      <c r="D7" s="25">
        <f>D5</f>
        <v>50</v>
      </c>
      <c r="E7" s="25">
        <f>B7*D5</f>
        <v>750</v>
      </c>
      <c r="F7" s="25">
        <v>750</v>
      </c>
      <c r="H7" s="26"/>
    </row>
    <row r="8" ht="12.75" customHeight="1">
      <c r="A8" s="23" t="s">
        <v>36</v>
      </c>
      <c r="B8" s="24">
        <v>15</v>
      </c>
      <c r="C8" s="24"/>
      <c r="D8" s="25">
        <f>D5</f>
        <v>50</v>
      </c>
      <c r="E8" s="25">
        <f>B8*D5</f>
        <v>750</v>
      </c>
      <c r="F8" s="25">
        <v>750</v>
      </c>
      <c r="H8" s="26"/>
    </row>
    <row r="9" ht="12.75" customHeight="1">
      <c r="A9" s="23" t="s">
        <v>37</v>
      </c>
      <c r="B9" s="24">
        <v>1</v>
      </c>
      <c r="C9" s="24"/>
      <c r="D9" s="25">
        <f>D5</f>
        <v>50</v>
      </c>
      <c r="E9" s="25">
        <f>D9*B9*D5</f>
        <v>2500</v>
      </c>
      <c r="F9" s="25">
        <v>0</v>
      </c>
      <c r="H9" s="26"/>
    </row>
    <row r="10" ht="12.75" customHeight="1">
      <c r="A10" s="23" t="s">
        <v>38</v>
      </c>
      <c r="B10" s="24">
        <f>2*4</f>
        <v>8</v>
      </c>
      <c r="C10" s="24"/>
      <c r="D10" s="25"/>
      <c r="E10" s="25"/>
      <c r="F10" s="25">
        <v>400</v>
      </c>
    </row>
    <row r="11" ht="12.75" customHeight="1">
      <c r="A11" s="27" t="s">
        <v>39</v>
      </c>
      <c r="B11" s="28">
        <v>2</v>
      </c>
      <c r="C11" s="29">
        <v>2000</v>
      </c>
      <c r="D11" s="26">
        <f>C11/$C$23*$D$5</f>
        <v>10000</v>
      </c>
      <c r="E11" s="25">
        <f>D11*B11</f>
        <v>20000</v>
      </c>
      <c r="F11" s="25">
        <f>B11*1500</f>
        <v>3000</v>
      </c>
      <c r="G11" s="26"/>
      <c r="H11" s="26"/>
    </row>
    <row r="12" ht="12.75" customHeight="1">
      <c r="A12" s="27" t="s">
        <v>40</v>
      </c>
      <c r="B12" s="28">
        <v>5</v>
      </c>
      <c r="C12" s="29">
        <v>2000</v>
      </c>
      <c r="D12" s="28"/>
      <c r="E12" s="28">
        <f>B12*D11</f>
        <v>50000</v>
      </c>
      <c r="F12" s="28">
        <v>0</v>
      </c>
      <c r="G12" s="19"/>
      <c r="H12" s="19"/>
      <c r="J12" s="14"/>
      <c r="K12" s="19"/>
    </row>
    <row r="13" ht="12.75" customHeight="1">
      <c r="A13" s="27" t="s">
        <v>41</v>
      </c>
      <c r="B13" s="28">
        <f>3*4</f>
        <v>12</v>
      </c>
      <c r="C13" s="29">
        <v>2000</v>
      </c>
      <c r="D13" s="26">
        <f t="shared" ref="D13:D21" si="0">C13/$C$23*$D$5</f>
        <v>10000</v>
      </c>
      <c r="E13" s="25">
        <f t="shared" ref="E13:E26" si="1">D13*B13</f>
        <v>120000</v>
      </c>
      <c r="F13" s="25">
        <v>0</v>
      </c>
      <c r="G13" s="26"/>
      <c r="H13" s="26"/>
    </row>
    <row r="14" ht="12.75" customHeight="1">
      <c r="A14" s="27" t="s">
        <v>42</v>
      </c>
      <c r="B14" s="28">
        <v>2</v>
      </c>
      <c r="C14" s="29">
        <v>1000</v>
      </c>
      <c r="D14" s="26">
        <f t="shared" si="0"/>
        <v>5000</v>
      </c>
      <c r="E14" s="25">
        <f t="shared" si="1"/>
        <v>10000</v>
      </c>
      <c r="F14" s="25">
        <v>0</v>
      </c>
      <c r="G14" s="26"/>
      <c r="H14" s="26"/>
      <c r="K14" s="19"/>
    </row>
    <row r="15" ht="12.75" customHeight="1">
      <c r="A15" s="27" t="s">
        <v>43</v>
      </c>
      <c r="B15" s="28">
        <v>2</v>
      </c>
      <c r="C15" s="29">
        <v>500</v>
      </c>
      <c r="D15" s="26">
        <f t="shared" si="0"/>
        <v>2500</v>
      </c>
      <c r="E15" s="25">
        <f t="shared" si="1"/>
        <v>5000</v>
      </c>
      <c r="F15" s="25">
        <v>0</v>
      </c>
      <c r="H15" s="26"/>
      <c r="K15" s="19"/>
    </row>
    <row r="16" ht="12.75" customHeight="1">
      <c r="A16" s="27" t="s">
        <v>44</v>
      </c>
      <c r="B16" s="28">
        <v>2</v>
      </c>
      <c r="C16" s="29">
        <v>160</v>
      </c>
      <c r="D16" s="26">
        <f t="shared" si="0"/>
        <v>800</v>
      </c>
      <c r="E16" s="25">
        <f t="shared" si="1"/>
        <v>1600</v>
      </c>
      <c r="F16" s="25">
        <v>0</v>
      </c>
      <c r="H16" s="26"/>
      <c r="K16" s="19"/>
    </row>
    <row r="17" ht="12.75" customHeight="1">
      <c r="A17" s="23" t="s">
        <v>45</v>
      </c>
      <c r="B17" s="25">
        <v>30</v>
      </c>
      <c r="C17" s="30">
        <v>80</v>
      </c>
      <c r="D17" s="26">
        <f t="shared" si="0"/>
        <v>400</v>
      </c>
      <c r="E17" s="26">
        <f t="shared" si="1"/>
        <v>12000</v>
      </c>
      <c r="F17" s="26">
        <f>B17*D17</f>
        <v>12000</v>
      </c>
      <c r="G17" s="26"/>
      <c r="H17" s="26"/>
    </row>
    <row r="18" ht="12.75" customHeight="1">
      <c r="A18" s="27" t="s">
        <v>46</v>
      </c>
      <c r="B18" s="28">
        <v>2</v>
      </c>
      <c r="C18" s="29">
        <v>40</v>
      </c>
      <c r="D18" s="26">
        <f t="shared" si="0"/>
        <v>200</v>
      </c>
      <c r="E18" s="26">
        <f t="shared" si="1"/>
        <v>400</v>
      </c>
      <c r="F18" s="26">
        <v>400</v>
      </c>
      <c r="G18" s="26"/>
      <c r="H18" s="26"/>
      <c r="K18" s="19"/>
    </row>
    <row r="19" ht="12.75" customHeight="1">
      <c r="A19" s="27" t="s">
        <v>47</v>
      </c>
      <c r="B19" s="28">
        <v>2</v>
      </c>
      <c r="C19" s="29">
        <v>40</v>
      </c>
      <c r="D19" s="26">
        <f t="shared" si="0"/>
        <v>200</v>
      </c>
      <c r="E19" s="26">
        <f t="shared" si="1"/>
        <v>400</v>
      </c>
      <c r="F19" s="26">
        <v>400</v>
      </c>
      <c r="H19" s="26"/>
      <c r="K19" s="19"/>
    </row>
    <row r="20" ht="12.75" customHeight="1">
      <c r="A20" s="23" t="s">
        <v>48</v>
      </c>
      <c r="B20" s="25">
        <v>12</v>
      </c>
      <c r="C20" s="30">
        <v>20</v>
      </c>
      <c r="D20" s="26">
        <f t="shared" si="0"/>
        <v>100</v>
      </c>
      <c r="E20" s="26">
        <f t="shared" si="1"/>
        <v>1200</v>
      </c>
      <c r="F20" s="26">
        <v>1200</v>
      </c>
      <c r="G20" s="26"/>
      <c r="H20" s="26"/>
    </row>
    <row r="21" ht="12.75" customHeight="1">
      <c r="A21" s="23" t="s">
        <v>49</v>
      </c>
      <c r="B21" s="25">
        <v>12</v>
      </c>
      <c r="C21" s="30">
        <v>12</v>
      </c>
      <c r="D21" s="26">
        <f t="shared" si="0"/>
        <v>60</v>
      </c>
      <c r="E21" s="26">
        <f t="shared" si="1"/>
        <v>720</v>
      </c>
      <c r="F21" s="26">
        <v>720</v>
      </c>
      <c r="G21" s="31"/>
      <c r="H21" s="26"/>
    </row>
    <row r="22" ht="12.75" customHeight="1">
      <c r="A22" s="32" t="s">
        <v>50</v>
      </c>
      <c r="B22" s="33">
        <v>3</v>
      </c>
      <c r="C22" s="29">
        <v>12</v>
      </c>
      <c r="D22" s="28">
        <f>B22*D5</f>
        <v>150</v>
      </c>
      <c r="E22" s="28">
        <f t="shared" si="1"/>
        <v>450</v>
      </c>
      <c r="F22" s="28">
        <v>450</v>
      </c>
      <c r="G22" s="31"/>
      <c r="H22" s="26"/>
    </row>
    <row r="23" ht="12.75" customHeight="1">
      <c r="A23" s="23" t="s">
        <v>51</v>
      </c>
      <c r="B23" s="25">
        <v>5</v>
      </c>
      <c r="C23" s="29">
        <v>10</v>
      </c>
      <c r="D23" s="26">
        <f>C23/$C$23*$D$5</f>
        <v>50</v>
      </c>
      <c r="E23" s="26">
        <f t="shared" si="1"/>
        <v>250</v>
      </c>
      <c r="F23" s="26">
        <v>250</v>
      </c>
      <c r="G23" s="26"/>
      <c r="H23" s="26"/>
    </row>
    <row r="24" ht="12.75" customHeight="1">
      <c r="A24" s="32" t="s">
        <v>52</v>
      </c>
      <c r="B24" s="33">
        <v>40</v>
      </c>
      <c r="C24" s="34">
        <v>10</v>
      </c>
      <c r="D24" s="33">
        <f t="shared" ref="D24:D26" si="2">B24*$D$5</f>
        <v>2000</v>
      </c>
      <c r="E24" s="33">
        <f t="shared" si="1"/>
        <v>80000</v>
      </c>
      <c r="F24" s="33">
        <f>D24*20</f>
        <v>40000</v>
      </c>
      <c r="G24" s="19"/>
      <c r="H24" s="19"/>
      <c r="M24" s="19"/>
      <c r="N24" s="19"/>
    </row>
    <row r="25" ht="12.75" customHeight="1">
      <c r="A25" s="32" t="s">
        <v>53</v>
      </c>
      <c r="B25" s="33">
        <v>15</v>
      </c>
      <c r="C25" s="34">
        <v>10</v>
      </c>
      <c r="D25" s="33">
        <f t="shared" si="2"/>
        <v>750</v>
      </c>
      <c r="E25" s="33">
        <f t="shared" si="1"/>
        <v>11250</v>
      </c>
      <c r="F25" s="33">
        <f>D25*7</f>
        <v>5250</v>
      </c>
      <c r="G25" s="19"/>
      <c r="H25" s="19"/>
      <c r="M25" s="19"/>
      <c r="N25" s="19"/>
    </row>
    <row r="26" ht="12.75" customHeight="1">
      <c r="A26" s="32" t="s">
        <v>54</v>
      </c>
      <c r="B26" s="33">
        <v>45</v>
      </c>
      <c r="C26" s="34">
        <v>10</v>
      </c>
      <c r="D26" s="33">
        <f t="shared" si="2"/>
        <v>2250</v>
      </c>
      <c r="E26" s="33">
        <f t="shared" si="1"/>
        <v>101250</v>
      </c>
      <c r="F26" s="33">
        <f>D26*20</f>
        <v>45000</v>
      </c>
      <c r="G26" s="19"/>
      <c r="H26" s="19"/>
      <c r="M26" s="19"/>
      <c r="N26" s="19"/>
    </row>
    <row r="27" ht="12.75" customHeight="1">
      <c r="A27" s="35" t="s">
        <v>55</v>
      </c>
      <c r="C27" s="36"/>
      <c r="E27" s="26">
        <f>SUM(E6:E23)</f>
        <v>226270</v>
      </c>
      <c r="F27" s="26">
        <f>SUM(F6:F25)</f>
        <v>65820</v>
      </c>
      <c r="H27" s="26"/>
    </row>
    <row r="28" ht="12.75" customHeight="1">
      <c r="A28" s="14" t="s">
        <v>56</v>
      </c>
      <c r="B28" s="26">
        <f>SUM(B6:B23)</f>
        <v>135</v>
      </c>
      <c r="E28" s="26">
        <f t="shared" ref="E28:F28" si="3">E27/60</f>
        <v>3771.1666666666665</v>
      </c>
      <c r="F28" s="26">
        <f t="shared" si="3"/>
        <v>1097</v>
      </c>
      <c r="H28" s="26"/>
    </row>
    <row r="29" ht="45.75" customHeight="1">
      <c r="A29" s="37" t="s">
        <v>57</v>
      </c>
      <c r="E29" s="38">
        <f t="shared" ref="E29:F29" si="4">E28/8</f>
        <v>471.39583333333331</v>
      </c>
      <c r="F29" s="38">
        <f t="shared" si="4"/>
        <v>137.125</v>
      </c>
      <c r="H29" s="26"/>
    </row>
    <row r="30" ht="33.75" customHeight="1">
      <c r="A30" s="38" t="s">
        <v>58</v>
      </c>
      <c r="E30" s="39">
        <f>E28*B32</f>
        <v>2244742.063492063</v>
      </c>
      <c r="F30" s="39">
        <f>F28*B32</f>
        <v>652976.19047619042</v>
      </c>
    </row>
    <row r="31" ht="56.25" customHeight="1">
      <c r="A31" s="20" t="s">
        <v>59</v>
      </c>
      <c r="B31" s="40">
        <v>100000</v>
      </c>
    </row>
    <row r="32" ht="12.75" customHeight="1">
      <c r="A32" s="14" t="s">
        <v>60</v>
      </c>
      <c r="B32" s="36">
        <f>B31/21/8</f>
        <v>595.23809523809518</v>
      </c>
    </row>
    <row r="33" ht="12.75" customHeight="1">
      <c r="A33" s="14" t="s">
        <v>61</v>
      </c>
      <c r="B33" s="36">
        <f>E30-F30</f>
        <v>1591765.8730158727</v>
      </c>
      <c r="C33" s="19"/>
      <c r="G33" s="26"/>
    </row>
    <row r="34" ht="12.75" customHeight="1">
      <c r="A34" s="14" t="s">
        <v>62</v>
      </c>
      <c r="E34" s="26">
        <f>E13+E14+E12+E15+E16+E19</f>
        <v>187000</v>
      </c>
    </row>
    <row r="35" ht="12.75" customHeight="1">
      <c r="A35" s="14" t="s">
        <v>63</v>
      </c>
      <c r="E35" s="26">
        <f>E34/8</f>
        <v>23375</v>
      </c>
      <c r="F35" s="20"/>
    </row>
    <row r="36" ht="12.75" customHeight="1">
      <c r="A36" s="21" t="s">
        <v>64</v>
      </c>
      <c r="B36" s="20"/>
      <c r="C36" s="20"/>
      <c r="D36" s="20"/>
      <c r="E36" s="20">
        <f>E35/8/200</f>
        <v>14.609375</v>
      </c>
      <c r="F36" s="19" t="s">
        <v>65</v>
      </c>
    </row>
    <row r="37" ht="12.75" customHeight="1"/>
    <row r="38" ht="32.25" customHeight="1">
      <c r="A38" s="41" t="s">
        <v>66</v>
      </c>
      <c r="B38" s="41"/>
      <c r="C38" s="41"/>
      <c r="D38" s="41"/>
      <c r="E38" s="42">
        <v>800000</v>
      </c>
    </row>
    <row r="39" ht="41.25" customHeight="1">
      <c r="A39" s="43" t="s">
        <v>67</v>
      </c>
      <c r="B39" s="41"/>
      <c r="C39" s="41"/>
      <c r="D39" s="41"/>
      <c r="E39" s="44">
        <f>(B33-E38)/E38</f>
        <v>0.98970734126984083</v>
      </c>
    </row>
    <row r="40" ht="12.75" customHeight="1">
      <c r="A40" s="45"/>
      <c r="B40" s="19" t="s">
        <v>68</v>
      </c>
    </row>
    <row r="41" ht="12.75" customHeight="1">
      <c r="A41" s="25"/>
      <c r="B41" s="19" t="s">
        <v>69</v>
      </c>
    </row>
    <row r="42" ht="12.75" customHeight="1">
      <c r="A42" s="28"/>
      <c r="B42" s="19" t="s">
        <v>70</v>
      </c>
    </row>
    <row r="43" ht="12.75" customHeight="1">
      <c r="A43" s="46"/>
      <c r="B43" s="47" t="s">
        <v>71</v>
      </c>
    </row>
    <row r="44" ht="12.75" customHeight="1"/>
    <row r="45" ht="12.75" customHeight="1"/>
    <row r="46" ht="12.75" customHeight="1">
      <c r="A46" s="47" t="s">
        <v>72</v>
      </c>
      <c r="C46" s="14"/>
      <c r="D46" s="14"/>
      <c r="E46" s="48" t="s">
        <v>73</v>
      </c>
      <c r="F46" s="48" t="s">
        <v>74</v>
      </c>
    </row>
    <row r="47" ht="12.75" customHeight="1">
      <c r="A47" s="49"/>
      <c r="C47" s="14"/>
      <c r="D47" s="14" t="s">
        <v>75</v>
      </c>
      <c r="E47" s="50">
        <f t="shared" ref="E47:F47" si="5">SUM(E24:E26)</f>
        <v>192500</v>
      </c>
      <c r="F47" s="50">
        <f t="shared" si="5"/>
        <v>90250</v>
      </c>
    </row>
    <row r="48" ht="12.75" customHeight="1">
      <c r="A48" s="19"/>
      <c r="B48" s="21"/>
      <c r="D48" s="47" t="s">
        <v>76</v>
      </c>
      <c r="E48" s="50">
        <f t="shared" ref="E48:F48" si="6">E47/60</f>
        <v>3208.3333333333335</v>
      </c>
      <c r="F48" s="50">
        <f t="shared" si="6"/>
        <v>1504.1666666666667</v>
      </c>
    </row>
    <row r="49" ht="12.75" customHeight="1">
      <c r="A49" s="19"/>
      <c r="D49" s="47" t="s">
        <v>77</v>
      </c>
      <c r="E49" s="50">
        <f t="shared" ref="E49:F49" si="7">E48/8</f>
        <v>401.04166666666669</v>
      </c>
      <c r="F49" s="50">
        <f t="shared" si="7"/>
        <v>188.02083333333334</v>
      </c>
    </row>
    <row r="50" ht="12.75" customHeight="1">
      <c r="A50" s="19"/>
      <c r="B50" s="21"/>
      <c r="D50" s="47" t="s">
        <v>78</v>
      </c>
      <c r="E50" s="50">
        <f>B32*E48</f>
        <v>1909722.2222222222</v>
      </c>
      <c r="F50" s="50">
        <f>B32*F48</f>
        <v>895337.30158730154</v>
      </c>
    </row>
    <row r="51" ht="12.75" customHeight="1">
      <c r="A51" s="19"/>
      <c r="B51" s="21"/>
      <c r="E51" s="47" t="s">
        <v>79</v>
      </c>
      <c r="F51" s="50">
        <f>E50-F50</f>
        <v>1014384.9206349207</v>
      </c>
    </row>
    <row r="52" ht="12.75" customHeight="1">
      <c r="A52" s="19"/>
      <c r="B52" s="21"/>
      <c r="E52" s="51" t="s">
        <v>66</v>
      </c>
      <c r="F52" s="33"/>
    </row>
    <row r="53" ht="36" customHeight="1">
      <c r="A53" s="19"/>
      <c r="E53" s="48" t="s">
        <v>67</v>
      </c>
      <c r="F53" s="52" t="e">
        <f>(F51-F52)/F52</f>
        <v>#DIV/0!</v>
      </c>
    </row>
    <row r="54" ht="12.75" customHeight="1">
      <c r="A54" s="19"/>
    </row>
    <row r="55" ht="12.75" customHeight="1">
      <c r="A55" s="19"/>
    </row>
    <row r="56" ht="12.75" customHeight="1">
      <c r="A56" s="19"/>
    </row>
    <row r="57" ht="12.75" customHeight="1">
      <c r="A57" s="19"/>
    </row>
    <row r="58" ht="12.75" customHeight="1">
      <c r="A58" s="19"/>
    </row>
    <row r="59" ht="12.75" customHeight="1">
      <c r="A59" s="19"/>
    </row>
    <row r="60" ht="12.75" customHeight="1">
      <c r="A60" s="19"/>
    </row>
    <row r="61" ht="12.75" customHeight="1">
      <c r="A61" s="19"/>
    </row>
    <row r="62" ht="12.75" customHeight="1">
      <c r="A62" s="19"/>
    </row>
    <row r="63" ht="12.75" customHeight="1">
      <c r="A63" s="19"/>
    </row>
    <row r="64" ht="12.75" customHeight="1">
      <c r="A64" s="19"/>
    </row>
    <row r="65" ht="12.75" customHeight="1">
      <c r="A65" s="19"/>
    </row>
    <row r="66" ht="12.75" customHeight="1"/>
    <row r="67" ht="12.75" customHeight="1"/>
    <row r="68" ht="12.75" customHeight="1">
      <c r="E68" s="19"/>
      <c r="F68" s="19"/>
    </row>
    <row r="69" ht="12.75" customHeight="1">
      <c r="E69" s="19"/>
      <c r="F69" s="19"/>
    </row>
    <row r="70" ht="12.75" customHeight="1">
      <c r="E70" s="19"/>
      <c r="F70" s="19"/>
    </row>
    <row r="71" ht="12.75" customHeight="1">
      <c r="E71" s="19"/>
      <c r="F71" s="19"/>
    </row>
    <row r="72" ht="12.75" customHeight="1">
      <c r="C72" s="19"/>
    </row>
    <row r="73" ht="12.75" customHeight="1">
      <c r="A73" s="49"/>
      <c r="D73" s="14"/>
    </row>
    <row r="74" ht="12.75" customHeight="1">
      <c r="A74" s="19"/>
      <c r="B74" s="21"/>
    </row>
    <row r="75" ht="12.75" customHeight="1">
      <c r="A75" s="19"/>
    </row>
    <row r="76" ht="12.75" customHeight="1">
      <c r="A76" s="19"/>
      <c r="B76" s="21"/>
    </row>
    <row r="77" ht="12.75" customHeight="1">
      <c r="A77" s="19"/>
      <c r="B77" s="21"/>
    </row>
    <row r="78" ht="12.75" customHeight="1">
      <c r="A78" s="19"/>
      <c r="B78" s="21"/>
      <c r="E78" s="19"/>
      <c r="F78" s="19"/>
    </row>
    <row r="79" ht="12.75" customHeight="1">
      <c r="A79" s="19"/>
      <c r="G79" s="19"/>
    </row>
    <row r="80" ht="12.75" customHeight="1">
      <c r="A80" s="19"/>
    </row>
    <row r="81" ht="12.75" customHeight="1">
      <c r="A81" s="19"/>
    </row>
    <row r="82" ht="12.75" customHeight="1">
      <c r="A82" s="19"/>
    </row>
    <row r="83" ht="12.75" customHeight="1">
      <c r="A83" s="19"/>
    </row>
    <row r="84" ht="12.75" customHeight="1">
      <c r="A84" s="19"/>
    </row>
    <row r="85" ht="12.75" customHeight="1">
      <c r="A85" s="19"/>
    </row>
    <row r="86" ht="12.75" customHeight="1">
      <c r="A86" s="19"/>
    </row>
    <row r="87" ht="12.75" customHeight="1">
      <c r="A87" s="19"/>
    </row>
    <row r="88" ht="12.75" customHeight="1">
      <c r="A88" s="19"/>
    </row>
    <row r="89" ht="12.75" customHeight="1">
      <c r="A89" s="19"/>
    </row>
    <row r="90" ht="12.75" customHeight="1">
      <c r="A90" s="19"/>
    </row>
    <row r="91" ht="12.75" customHeight="1">
      <c r="A91" s="19"/>
    </row>
    <row r="92" ht="12.75" customHeight="1"/>
    <row r="93" ht="12.75" customHeight="1">
      <c r="E93" s="19"/>
      <c r="F93" s="19"/>
    </row>
    <row r="94" ht="12.75" customHeight="1">
      <c r="E94" s="19"/>
      <c r="F94" s="19"/>
    </row>
    <row r="95" ht="12.75" customHeight="1">
      <c r="E95" s="19"/>
      <c r="F95" s="19"/>
    </row>
    <row r="96" ht="12.75" customHeight="1">
      <c r="E96" s="19"/>
      <c r="F96" s="19"/>
    </row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hyperlinks>
    <hyperlink r:id="rId1" ref="E1"/>
  </hyperlink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Ruler="1" zoomScale="100" workbookViewId="0">
      <selection activeCell="A1" activeCellId="0" sqref="A1"/>
    </sheetView>
  </sheetViews>
  <sheetFormatPr defaultColWidth="12.630000000000001" defaultRowHeight="15" customHeight="1"/>
  <cols>
    <col customWidth="1" min="1" max="1" width="19.5"/>
    <col customWidth="1" min="2" max="26" width="7.75"/>
  </cols>
  <sheetData>
    <row r="1" ht="12.75" customHeight="1">
      <c r="A1" s="53" t="s">
        <v>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ht="12.75" customHeight="1">
      <c r="A2" s="54" t="s">
        <v>81</v>
      </c>
      <c r="B2" s="54" t="s">
        <v>82</v>
      </c>
      <c r="C2" s="54" t="s">
        <v>83</v>
      </c>
      <c r="D2" s="54" t="s">
        <v>84</v>
      </c>
      <c r="E2" s="54" t="s">
        <v>85</v>
      </c>
      <c r="F2" s="54" t="s">
        <v>86</v>
      </c>
      <c r="G2" s="54" t="s">
        <v>87</v>
      </c>
      <c r="H2" s="54" t="s">
        <v>88</v>
      </c>
      <c r="I2" s="54" t="s">
        <v>89</v>
      </c>
      <c r="J2" s="54" t="s">
        <v>90</v>
      </c>
      <c r="K2" s="54" t="s">
        <v>91</v>
      </c>
      <c r="L2" s="54" t="s">
        <v>92</v>
      </c>
      <c r="M2" s="54" t="s">
        <v>93</v>
      </c>
    </row>
    <row r="3" ht="12.75" customHeight="1">
      <c r="A3" s="55" t="s">
        <v>94</v>
      </c>
      <c r="B3" s="56">
        <v>4</v>
      </c>
      <c r="C3" s="56">
        <v>1</v>
      </c>
      <c r="D3" s="56">
        <v>1</v>
      </c>
      <c r="E3" s="56">
        <v>1</v>
      </c>
      <c r="F3" s="56">
        <v>1</v>
      </c>
      <c r="G3" s="56">
        <v>1</v>
      </c>
      <c r="H3" s="56">
        <v>1</v>
      </c>
      <c r="I3" s="56">
        <v>1</v>
      </c>
      <c r="J3" s="56">
        <v>1</v>
      </c>
      <c r="K3" s="56">
        <v>1</v>
      </c>
      <c r="L3" s="56">
        <v>1</v>
      </c>
      <c r="M3" s="57">
        <v>1</v>
      </c>
    </row>
    <row r="4" ht="12.75" customHeight="1">
      <c r="A4" s="55" t="s">
        <v>95</v>
      </c>
      <c r="B4" s="56">
        <v>6</v>
      </c>
      <c r="C4" s="56">
        <v>5</v>
      </c>
      <c r="D4" s="56">
        <v>5</v>
      </c>
      <c r="E4" s="56">
        <v>5</v>
      </c>
      <c r="F4" s="56">
        <v>5</v>
      </c>
      <c r="G4" s="56">
        <v>5</v>
      </c>
      <c r="H4" s="56">
        <v>5</v>
      </c>
      <c r="I4" s="56">
        <v>5</v>
      </c>
      <c r="J4" s="56">
        <v>5</v>
      </c>
      <c r="K4" s="56">
        <v>3</v>
      </c>
      <c r="L4" s="56">
        <v>4</v>
      </c>
      <c r="M4" s="57">
        <v>5</v>
      </c>
    </row>
    <row r="5" ht="12.75" customHeight="1">
      <c r="A5" s="55" t="s">
        <v>96</v>
      </c>
      <c r="B5" s="56">
        <v>7</v>
      </c>
      <c r="C5" s="56">
        <v>6</v>
      </c>
      <c r="D5" s="56">
        <v>7</v>
      </c>
      <c r="E5" s="56">
        <v>6</v>
      </c>
      <c r="F5" s="56">
        <v>6</v>
      </c>
      <c r="G5" s="56">
        <v>4</v>
      </c>
      <c r="H5" s="56">
        <v>4</v>
      </c>
      <c r="I5" s="56">
        <v>3</v>
      </c>
      <c r="J5" s="56">
        <v>3</v>
      </c>
      <c r="K5" s="56">
        <v>3</v>
      </c>
      <c r="L5" s="56">
        <v>3</v>
      </c>
      <c r="M5" s="57">
        <v>3</v>
      </c>
    </row>
    <row r="6" ht="12.75" customHeight="1">
      <c r="A6" s="58" t="s">
        <v>97</v>
      </c>
      <c r="B6" s="56">
        <v>7</v>
      </c>
      <c r="C6" s="56">
        <v>5</v>
      </c>
      <c r="D6" s="56">
        <v>5</v>
      </c>
      <c r="E6" s="56">
        <v>4</v>
      </c>
      <c r="F6" s="56">
        <v>3</v>
      </c>
      <c r="G6" s="56">
        <v>4</v>
      </c>
      <c r="H6" s="56">
        <v>4</v>
      </c>
      <c r="I6" s="56">
        <v>4</v>
      </c>
      <c r="J6" s="56">
        <v>3</v>
      </c>
      <c r="K6" s="56">
        <v>4</v>
      </c>
      <c r="L6" s="56">
        <v>4</v>
      </c>
      <c r="M6" s="57">
        <v>4</v>
      </c>
    </row>
    <row r="7" ht="12.75" customHeight="1">
      <c r="A7" s="55" t="s">
        <v>98</v>
      </c>
      <c r="B7" s="56">
        <v>7</v>
      </c>
      <c r="C7" s="56">
        <v>6</v>
      </c>
      <c r="D7" s="56">
        <v>5</v>
      </c>
      <c r="E7" s="56">
        <v>5</v>
      </c>
      <c r="F7" s="56">
        <v>4</v>
      </c>
      <c r="G7" s="56">
        <v>4</v>
      </c>
      <c r="H7" s="56">
        <v>4</v>
      </c>
      <c r="I7" s="56">
        <v>4</v>
      </c>
      <c r="J7" s="56">
        <v>3</v>
      </c>
      <c r="K7" s="56">
        <v>3</v>
      </c>
      <c r="L7" s="56">
        <v>4</v>
      </c>
      <c r="M7" s="57">
        <v>4</v>
      </c>
    </row>
    <row r="8" ht="12.75" customHeight="1">
      <c r="A8" s="59" t="s">
        <v>99</v>
      </c>
      <c r="B8" s="56">
        <v>7</v>
      </c>
      <c r="C8" s="56">
        <v>7</v>
      </c>
      <c r="D8" s="56">
        <v>7</v>
      </c>
      <c r="E8" s="56">
        <v>6</v>
      </c>
      <c r="F8" s="56">
        <v>6</v>
      </c>
      <c r="G8" s="56">
        <v>6</v>
      </c>
      <c r="H8" s="56">
        <v>6</v>
      </c>
      <c r="I8" s="56">
        <v>6</v>
      </c>
      <c r="J8" s="56">
        <v>4</v>
      </c>
      <c r="K8" s="56">
        <v>5</v>
      </c>
      <c r="L8" s="56">
        <v>6</v>
      </c>
      <c r="M8" s="57">
        <v>6</v>
      </c>
    </row>
    <row r="9" ht="12.75" customHeight="1">
      <c r="A9" s="55" t="s">
        <v>100</v>
      </c>
      <c r="B9" s="56">
        <v>3</v>
      </c>
      <c r="C9" s="56">
        <v>5</v>
      </c>
      <c r="D9" s="56">
        <v>5</v>
      </c>
      <c r="E9" s="56">
        <v>4</v>
      </c>
      <c r="F9" s="56">
        <v>3</v>
      </c>
      <c r="G9" s="56">
        <v>2</v>
      </c>
      <c r="H9" s="56">
        <v>2</v>
      </c>
      <c r="I9" s="56">
        <v>4</v>
      </c>
      <c r="J9" s="56">
        <v>4</v>
      </c>
      <c r="K9" s="56">
        <v>3</v>
      </c>
      <c r="L9" s="56">
        <v>2</v>
      </c>
      <c r="M9" s="57">
        <v>4</v>
      </c>
    </row>
    <row r="10" ht="12.75" customHeight="1">
      <c r="A10" s="60" t="s">
        <v>101</v>
      </c>
      <c r="B10" s="60">
        <f t="shared" ref="B10:M10" si="8">SUM(B3:B9)</f>
        <v>41</v>
      </c>
      <c r="C10" s="60">
        <f t="shared" si="8"/>
        <v>35</v>
      </c>
      <c r="D10" s="60">
        <f t="shared" si="8"/>
        <v>35</v>
      </c>
      <c r="E10" s="60">
        <f t="shared" si="8"/>
        <v>31</v>
      </c>
      <c r="F10" s="60">
        <f t="shared" si="8"/>
        <v>28</v>
      </c>
      <c r="G10" s="60">
        <f t="shared" si="8"/>
        <v>26</v>
      </c>
      <c r="H10" s="60">
        <f t="shared" si="8"/>
        <v>26</v>
      </c>
      <c r="I10" s="60">
        <f t="shared" si="8"/>
        <v>27</v>
      </c>
      <c r="J10" s="60">
        <f t="shared" si="8"/>
        <v>23</v>
      </c>
      <c r="K10" s="60">
        <f t="shared" si="8"/>
        <v>22</v>
      </c>
      <c r="L10" s="60">
        <f t="shared" si="8"/>
        <v>24</v>
      </c>
      <c r="M10" s="60">
        <f t="shared" si="8"/>
        <v>27</v>
      </c>
    </row>
    <row r="11" ht="12.75" customHeight="1"/>
    <row r="12" ht="12.75" customHeight="1"/>
    <row r="13" ht="12.75" customHeight="1">
      <c r="A13" s="61" t="s">
        <v>102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</row>
    <row r="14" ht="12.75" customHeight="1">
      <c r="A14" s="62" t="s">
        <v>81</v>
      </c>
      <c r="B14" s="62" t="s">
        <v>103</v>
      </c>
      <c r="C14" s="62" t="s">
        <v>104</v>
      </c>
      <c r="D14" s="62" t="s">
        <v>82</v>
      </c>
      <c r="E14" s="62" t="s">
        <v>83</v>
      </c>
      <c r="F14" s="62" t="s">
        <v>84</v>
      </c>
      <c r="G14" s="62" t="s">
        <v>85</v>
      </c>
      <c r="H14" s="62" t="s">
        <v>86</v>
      </c>
      <c r="I14" s="62" t="s">
        <v>87</v>
      </c>
      <c r="J14" s="62" t="s">
        <v>88</v>
      </c>
      <c r="K14" s="62" t="s">
        <v>89</v>
      </c>
      <c r="L14" s="62" t="s">
        <v>90</v>
      </c>
      <c r="M14" s="62" t="s">
        <v>91</v>
      </c>
      <c r="N14" s="62" t="s">
        <v>92</v>
      </c>
      <c r="O14" s="62" t="s">
        <v>93</v>
      </c>
    </row>
    <row r="15" ht="12.75" customHeight="1">
      <c r="A15" s="63" t="s">
        <v>94</v>
      </c>
      <c r="B15" s="64" t="s">
        <v>105</v>
      </c>
      <c r="C15" s="64" t="s">
        <v>106</v>
      </c>
      <c r="D15" s="65">
        <v>1</v>
      </c>
      <c r="E15" s="65">
        <v>1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6" ht="12.75" customHeight="1">
      <c r="A16" s="63" t="s">
        <v>94</v>
      </c>
      <c r="B16" s="64" t="s">
        <v>107</v>
      </c>
      <c r="C16" s="64"/>
      <c r="D16" s="65">
        <v>0</v>
      </c>
      <c r="E16" s="65">
        <v>0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ht="12.75" customHeight="1">
      <c r="A17" s="66" t="s">
        <v>97</v>
      </c>
      <c r="B17" s="67" t="s">
        <v>108</v>
      </c>
      <c r="C17" s="67" t="s">
        <v>109</v>
      </c>
      <c r="D17" s="68">
        <v>4</v>
      </c>
      <c r="E17" s="68">
        <v>4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</row>
    <row r="18" ht="12.75" customHeight="1">
      <c r="A18" s="66" t="s">
        <v>97</v>
      </c>
      <c r="B18" s="67" t="s">
        <v>110</v>
      </c>
      <c r="C18" s="67"/>
      <c r="D18" s="68">
        <v>0</v>
      </c>
      <c r="E18" s="68">
        <v>0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</row>
    <row r="19" ht="12.75" customHeight="1">
      <c r="A19" s="63" t="s">
        <v>95</v>
      </c>
      <c r="B19" s="64" t="s">
        <v>111</v>
      </c>
      <c r="C19" s="64"/>
      <c r="D19" s="65">
        <v>0</v>
      </c>
      <c r="E19" s="65">
        <v>0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</row>
    <row r="20" ht="12.75" customHeight="1">
      <c r="A20" s="63" t="s">
        <v>95</v>
      </c>
      <c r="B20" s="64" t="s">
        <v>112</v>
      </c>
      <c r="C20" s="64"/>
      <c r="D20" s="65">
        <v>5</v>
      </c>
      <c r="E20" s="65">
        <v>5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</row>
    <row r="21" ht="12.75" customHeight="1">
      <c r="A21" s="63" t="s">
        <v>95</v>
      </c>
      <c r="B21" s="64" t="s">
        <v>113</v>
      </c>
      <c r="C21" s="64"/>
      <c r="D21" s="65">
        <v>0</v>
      </c>
      <c r="E21" s="65">
        <v>0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ht="12.75" customHeight="1">
      <c r="A22" s="63" t="s">
        <v>95</v>
      </c>
      <c r="B22" s="64" t="s">
        <v>114</v>
      </c>
      <c r="C22" s="64"/>
      <c r="D22" s="65">
        <v>0</v>
      </c>
      <c r="E22" s="65">
        <v>0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ht="12.75" customHeight="1">
      <c r="A23" s="67" t="s">
        <v>115</v>
      </c>
      <c r="B23" s="67" t="s">
        <v>116</v>
      </c>
      <c r="C23" s="67" t="s">
        <v>117</v>
      </c>
      <c r="D23" s="68">
        <v>0</v>
      </c>
      <c r="E23" s="68">
        <v>0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</row>
    <row r="24" ht="12.75" customHeight="1">
      <c r="A24" s="65" t="s">
        <v>96</v>
      </c>
      <c r="B24" s="69" t="s">
        <v>118</v>
      </c>
      <c r="C24" s="69" t="s">
        <v>119</v>
      </c>
      <c r="D24" s="65">
        <v>3</v>
      </c>
      <c r="E24" s="65">
        <v>3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</row>
    <row r="25" ht="12.75" customHeight="1">
      <c r="A25" s="66" t="s">
        <v>98</v>
      </c>
      <c r="B25" s="67" t="s">
        <v>120</v>
      </c>
      <c r="C25" s="67" t="s">
        <v>121</v>
      </c>
      <c r="D25" s="68">
        <v>3</v>
      </c>
      <c r="E25" s="68">
        <v>3</v>
      </c>
      <c r="F25" s="68"/>
      <c r="G25" s="68"/>
      <c r="H25" s="68"/>
      <c r="I25" s="68"/>
      <c r="J25" s="68"/>
      <c r="K25" s="68"/>
      <c r="L25" s="68"/>
      <c r="M25" s="68"/>
      <c r="N25" s="68"/>
      <c r="O25" s="68"/>
    </row>
    <row r="26" ht="12.75" customHeight="1">
      <c r="A26" s="66" t="s">
        <v>98</v>
      </c>
      <c r="B26" s="67" t="s">
        <v>122</v>
      </c>
      <c r="C26" s="67"/>
      <c r="D26" s="68">
        <v>0</v>
      </c>
      <c r="E26" s="68">
        <v>0</v>
      </c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ht="12.75" customHeight="1">
      <c r="A27" s="66" t="s">
        <v>98</v>
      </c>
      <c r="B27" s="67" t="s">
        <v>123</v>
      </c>
      <c r="C27" s="67"/>
      <c r="D27" s="68">
        <v>1</v>
      </c>
      <c r="E27" s="68">
        <v>1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ht="12.75" customHeight="1">
      <c r="A28" s="66" t="s">
        <v>98</v>
      </c>
      <c r="B28" s="67" t="s">
        <v>124</v>
      </c>
      <c r="C28" s="67"/>
      <c r="D28" s="68">
        <v>1</v>
      </c>
      <c r="E28" s="68">
        <v>1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ht="12.75" customHeight="1">
      <c r="A29" s="70" t="s">
        <v>99</v>
      </c>
      <c r="B29" s="69" t="s">
        <v>125</v>
      </c>
      <c r="C29" s="69" t="s">
        <v>126</v>
      </c>
      <c r="D29" s="65">
        <v>3</v>
      </c>
      <c r="E29" s="65">
        <v>3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ht="12.75" customHeight="1">
      <c r="A30" s="70" t="s">
        <v>99</v>
      </c>
      <c r="B30" s="69" t="s">
        <v>125</v>
      </c>
      <c r="C30" s="69" t="s">
        <v>127</v>
      </c>
      <c r="D30" s="65">
        <v>2</v>
      </c>
      <c r="E30" s="65">
        <v>2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ht="12.75" customHeight="1">
      <c r="A31" s="63" t="s">
        <v>99</v>
      </c>
      <c r="B31" s="64" t="s">
        <v>128</v>
      </c>
      <c r="C31" s="64"/>
      <c r="D31" s="65">
        <v>1</v>
      </c>
      <c r="E31" s="65">
        <v>1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ht="12.75" customHeight="1">
      <c r="A32" s="63" t="s">
        <v>99</v>
      </c>
      <c r="B32" s="64" t="s">
        <v>129</v>
      </c>
      <c r="C32" s="64"/>
      <c r="D32" s="65">
        <v>0</v>
      </c>
      <c r="E32" s="65">
        <v>0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ht="12.75" customHeight="1">
      <c r="A33" s="63" t="s">
        <v>99</v>
      </c>
      <c r="B33" s="64" t="s">
        <v>130</v>
      </c>
      <c r="C33" s="64"/>
      <c r="D33" s="65">
        <v>0</v>
      </c>
      <c r="E33" s="65">
        <v>0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</row>
    <row r="34" ht="12.75" customHeight="1">
      <c r="A34" s="66" t="s">
        <v>100</v>
      </c>
      <c r="B34" s="67" t="s">
        <v>131</v>
      </c>
      <c r="C34" s="67"/>
      <c r="D34" s="68">
        <v>0</v>
      </c>
      <c r="E34" s="68">
        <v>0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ht="12.75" customHeight="1">
      <c r="A35" s="66" t="s">
        <v>100</v>
      </c>
      <c r="B35" s="67" t="s">
        <v>132</v>
      </c>
      <c r="C35" s="67"/>
      <c r="D35" s="68">
        <v>0</v>
      </c>
      <c r="E35" s="68">
        <v>0</v>
      </c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ht="12.75" customHeight="1">
      <c r="A36" s="71" t="s">
        <v>100</v>
      </c>
      <c r="B36" s="71" t="s">
        <v>133</v>
      </c>
      <c r="C36" s="71" t="s">
        <v>134</v>
      </c>
      <c r="D36" s="68">
        <v>4</v>
      </c>
      <c r="E36" s="68">
        <v>3</v>
      </c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ht="12.75" customHeight="1">
      <c r="A37" s="71" t="s">
        <v>100</v>
      </c>
      <c r="B37" s="71" t="s">
        <v>133</v>
      </c>
      <c r="C37" s="71" t="s">
        <v>135</v>
      </c>
      <c r="D37" s="68">
        <v>0</v>
      </c>
      <c r="E37" s="68">
        <v>2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</row>
    <row r="38" ht="12.75" customHeight="1">
      <c r="A38" s="72" t="s">
        <v>101</v>
      </c>
      <c r="B38" s="72"/>
      <c r="C38" s="73"/>
      <c r="D38" s="72">
        <f t="shared" ref="D38:O38" si="9">SUM(D15:D37)</f>
        <v>28</v>
      </c>
      <c r="E38" s="72">
        <f t="shared" si="9"/>
        <v>29</v>
      </c>
      <c r="F38" s="72">
        <f t="shared" si="9"/>
        <v>0</v>
      </c>
      <c r="G38" s="72">
        <f t="shared" si="9"/>
        <v>0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2">
        <f t="shared" si="9"/>
        <v>0</v>
      </c>
      <c r="N38" s="72">
        <f t="shared" si="9"/>
        <v>0</v>
      </c>
      <c r="O38" s="72">
        <f t="shared" si="9"/>
        <v>0</v>
      </c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1:M1"/>
    <mergeCell ref="A13:O13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showRuler="1" zoomScale="100" workbookViewId="0">
      <pane xSplit="2" ySplit="3" topLeftCell="C4" activePane="bottomRight" state="frozen"/>
      <selection activeCell="C4" activeCellId="0" sqref="C4"/>
    </sheetView>
  </sheetViews>
  <sheetFormatPr defaultColWidth="12.630000000000001" defaultRowHeight="15" customHeight="1" outlineLevelRow="1" outlineLevelCol="1"/>
  <cols>
    <col customWidth="1" min="2" max="2" width="9.75"/>
    <col customWidth="1" min="3" max="3" width="9.5"/>
    <col customWidth="1" min="4" max="4" width="13.880000000000001"/>
    <col collapsed="1" customWidth="1" min="5" max="5" width="11.5"/>
    <col customWidth="1" hidden="1" min="6" max="6" outlineLevel="1" width="10.25"/>
    <col customWidth="1" hidden="1" min="7" max="7" outlineLevel="1" width="11.75"/>
    <col customWidth="1" hidden="1" min="8" max="9" outlineLevel="1" width="10.25"/>
    <col customWidth="1" hidden="1" min="10" max="10" outlineLevel="1" width="12.130000000000001"/>
    <col customWidth="1" hidden="1" min="11" max="11" outlineLevel="1" width="10.25"/>
    <col customWidth="1" min="12" max="12" width="10.25"/>
    <col customWidth="1" min="13" max="13" width="13"/>
    <col customWidth="1" min="14" max="14" width="11.5"/>
    <col customWidth="1" min="15" max="15" width="8.8800000000000008"/>
    <col customWidth="1" min="16" max="16" width="12.5"/>
    <col customWidth="1" min="17" max="17" width="10.380000000000001"/>
    <col customWidth="1" min="18" max="18" width="5.3799999999999999"/>
    <col customWidth="1" min="19" max="19" width="25.129999999999999"/>
    <col customWidth="1" min="20" max="21" width="7.1299999999999999"/>
    <col customWidth="1" min="22" max="22" width="6.25"/>
    <col customWidth="1" min="23" max="23" width="8.6300000000000008"/>
    <col customWidth="1" min="24" max="25" width="7.8799999999999999"/>
    <col customWidth="1" min="26" max="26" width="8.1300000000000008"/>
    <col customWidth="1" min="27" max="33" width="11.130000000000001"/>
  </cols>
  <sheetData>
    <row r="1" ht="52.5" customHeight="1">
      <c r="A1" s="74" t="s">
        <v>136</v>
      </c>
      <c r="B1" s="75" t="s">
        <v>137</v>
      </c>
      <c r="C1" s="76" t="s">
        <v>138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ht="15.75" customHeight="1">
      <c r="A2" s="78"/>
      <c r="B2" s="78"/>
      <c r="C2" s="79" t="s">
        <v>139</v>
      </c>
      <c r="D2" s="5"/>
      <c r="E2" s="6"/>
      <c r="F2" s="79" t="s">
        <v>140</v>
      </c>
      <c r="G2" s="5"/>
      <c r="H2" s="6"/>
      <c r="I2" s="79" t="s">
        <v>141</v>
      </c>
      <c r="J2" s="5"/>
      <c r="K2" s="6"/>
      <c r="L2" s="80" t="s">
        <v>142</v>
      </c>
      <c r="M2" s="81"/>
      <c r="N2" s="82"/>
      <c r="O2" s="83" t="s">
        <v>143</v>
      </c>
      <c r="P2" s="81"/>
      <c r="Q2" s="82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ht="15.75" customHeight="1">
      <c r="A3" s="78"/>
      <c r="B3" s="78"/>
      <c r="C3" s="84" t="s">
        <v>144</v>
      </c>
      <c r="D3" s="84" t="s">
        <v>145</v>
      </c>
      <c r="E3" s="85" t="s">
        <v>146</v>
      </c>
      <c r="F3" s="84" t="s">
        <v>144</v>
      </c>
      <c r="G3" s="84" t="s">
        <v>145</v>
      </c>
      <c r="H3" s="85" t="s">
        <v>146</v>
      </c>
      <c r="I3" s="84" t="s">
        <v>144</v>
      </c>
      <c r="J3" s="84" t="s">
        <v>145</v>
      </c>
      <c r="K3" s="85" t="s">
        <v>146</v>
      </c>
      <c r="L3" s="86" t="s">
        <v>144</v>
      </c>
      <c r="M3" s="86" t="s">
        <v>145</v>
      </c>
      <c r="N3" s="87" t="s">
        <v>146</v>
      </c>
      <c r="O3" s="86" t="s">
        <v>144</v>
      </c>
      <c r="P3" s="86" t="s">
        <v>145</v>
      </c>
      <c r="Q3" s="87" t="s">
        <v>146</v>
      </c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</row>
    <row r="4" ht="15.75" customHeight="1" collapsed="1">
      <c r="A4" s="88" t="s">
        <v>147</v>
      </c>
      <c r="B4" s="88" t="s">
        <v>148</v>
      </c>
      <c r="C4" s="89">
        <f t="shared" ref="C4:D4" si="10">SUM(C5:C12)</f>
        <v>815.57000000000005</v>
      </c>
      <c r="D4" s="89">
        <f t="shared" si="10"/>
        <v>39</v>
      </c>
      <c r="E4" s="90">
        <f t="shared" ref="E4:E14" si="11">D4/C4*100%</f>
        <v>0.047819316551614206</v>
      </c>
      <c r="F4" s="89">
        <f t="shared" ref="F4:G4" si="12">SUM(F5:F12)</f>
        <v>74.599999999999994</v>
      </c>
      <c r="G4" s="89">
        <f t="shared" si="12"/>
        <v>0</v>
      </c>
      <c r="H4" s="90">
        <f>G4/F4*100%</f>
        <v>0</v>
      </c>
      <c r="I4" s="89">
        <f t="shared" ref="I4:J4" si="13">SUM(I5:I12)</f>
        <v>740.96999999999991</v>
      </c>
      <c r="J4" s="89">
        <f t="shared" si="13"/>
        <v>39</v>
      </c>
      <c r="K4" s="90">
        <f>J4/I4*100%</f>
        <v>0.052633709866796233</v>
      </c>
      <c r="L4" s="91">
        <f t="shared" ref="L4:M4" si="14">SUM(L5:L12)</f>
        <v>46.960000000000001</v>
      </c>
      <c r="M4" s="92">
        <f t="shared" si="14"/>
        <v>5</v>
      </c>
      <c r="N4" s="93">
        <f t="shared" ref="N4:N14" si="15">M4/L4*100%</f>
        <v>0.10647359454855196</v>
      </c>
      <c r="O4" s="92">
        <f t="shared" ref="O4:P4" si="16">SUM(O5:O12)</f>
        <v>8</v>
      </c>
      <c r="P4" s="92">
        <f t="shared" si="16"/>
        <v>1</v>
      </c>
      <c r="Q4" s="93">
        <f>P4/O4*100%</f>
        <v>0.125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ht="15.75" hidden="1" customHeight="1" outlineLevel="1">
      <c r="A5" s="11"/>
      <c r="B5" s="11" t="s">
        <v>149</v>
      </c>
      <c r="C5" s="12">
        <v>141</v>
      </c>
      <c r="D5" s="12">
        <v>8</v>
      </c>
      <c r="E5" s="90">
        <f t="shared" si="11"/>
        <v>0.056737588652482268</v>
      </c>
      <c r="F5" s="12"/>
      <c r="G5" s="12"/>
      <c r="H5" s="90"/>
      <c r="I5" s="12">
        <f t="shared" ref="I5:J9" si="17">C5-F5</f>
        <v>141</v>
      </c>
      <c r="J5" s="12">
        <f t="shared" si="17"/>
        <v>8</v>
      </c>
      <c r="K5" s="90"/>
      <c r="L5" s="94">
        <v>7</v>
      </c>
      <c r="M5" s="95">
        <v>2</v>
      </c>
      <c r="N5" s="93">
        <f t="shared" si="15"/>
        <v>0.2857142857142857</v>
      </c>
      <c r="O5" s="95">
        <v>0</v>
      </c>
      <c r="P5" s="95">
        <v>0</v>
      </c>
      <c r="Q5" s="93">
        <v>0</v>
      </c>
    </row>
    <row r="6" ht="15.75" hidden="1" customHeight="1" outlineLevel="1">
      <c r="A6" s="11"/>
      <c r="B6" s="11" t="s">
        <v>150</v>
      </c>
      <c r="C6" s="12"/>
      <c r="D6" s="12"/>
      <c r="E6" s="90"/>
      <c r="F6" s="12"/>
      <c r="G6" s="12"/>
      <c r="H6" s="90"/>
      <c r="I6" s="12">
        <f t="shared" si="17"/>
        <v>0</v>
      </c>
      <c r="J6" s="12">
        <f t="shared" si="17"/>
        <v>0</v>
      </c>
      <c r="K6" s="90"/>
      <c r="L6" s="94">
        <v>0</v>
      </c>
      <c r="M6" s="95">
        <v>0</v>
      </c>
      <c r="N6" s="93">
        <v>0</v>
      </c>
      <c r="O6" s="95">
        <v>0</v>
      </c>
      <c r="P6" s="95">
        <v>0</v>
      </c>
      <c r="Q6" s="93">
        <v>0</v>
      </c>
    </row>
    <row r="7" ht="15.75" hidden="1" customHeight="1" outlineLevel="1">
      <c r="A7" s="11"/>
      <c r="B7" s="11" t="s">
        <v>151</v>
      </c>
      <c r="C7" s="12">
        <f>241.79-93.42</f>
        <v>148.37</v>
      </c>
      <c r="D7" s="11">
        <f>3-0</f>
        <v>3</v>
      </c>
      <c r="E7" s="90">
        <f t="shared" si="11"/>
        <v>0.020219720967850643</v>
      </c>
      <c r="F7" s="12">
        <v>74.599999999999994</v>
      </c>
      <c r="G7" s="12">
        <v>0</v>
      </c>
      <c r="H7" s="90"/>
      <c r="I7" s="12">
        <f t="shared" si="17"/>
        <v>73.77000000000001</v>
      </c>
      <c r="J7" s="12">
        <f t="shared" si="17"/>
        <v>3</v>
      </c>
      <c r="K7" s="90"/>
      <c r="L7" s="94">
        <v>8</v>
      </c>
      <c r="M7" s="95">
        <v>0</v>
      </c>
      <c r="N7" s="93">
        <f t="shared" si="15"/>
        <v>0</v>
      </c>
      <c r="O7" s="95">
        <v>5</v>
      </c>
      <c r="P7" s="95">
        <v>0</v>
      </c>
      <c r="Q7" s="93">
        <f>P7/O7*100%</f>
        <v>0</v>
      </c>
    </row>
    <row r="8" ht="15.75" hidden="1" customHeight="1" outlineLevel="1">
      <c r="A8" s="11"/>
      <c r="B8" s="11" t="s">
        <v>152</v>
      </c>
      <c r="C8" s="12">
        <f>35.79+12+63.51</f>
        <v>111.3</v>
      </c>
      <c r="D8" s="12">
        <f>2+2</f>
        <v>4</v>
      </c>
      <c r="E8" s="90">
        <f t="shared" si="11"/>
        <v>0.035938903863432167</v>
      </c>
      <c r="F8" s="12"/>
      <c r="G8" s="12"/>
      <c r="H8" s="90"/>
      <c r="I8" s="12">
        <f t="shared" si="17"/>
        <v>111.3</v>
      </c>
      <c r="J8" s="12">
        <f t="shared" si="17"/>
        <v>4</v>
      </c>
      <c r="K8" s="90"/>
      <c r="L8" s="94">
        <v>8.8699999999999992</v>
      </c>
      <c r="M8" s="95">
        <v>2</v>
      </c>
      <c r="N8" s="93">
        <f t="shared" si="15"/>
        <v>0.22547914317925594</v>
      </c>
      <c r="O8" s="95">
        <v>0</v>
      </c>
      <c r="P8" s="95">
        <v>0</v>
      </c>
      <c r="Q8" s="93">
        <v>0</v>
      </c>
    </row>
    <row r="9" ht="15.75" hidden="1" customHeight="1" outlineLevel="1">
      <c r="A9" s="11"/>
      <c r="B9" s="11" t="s">
        <v>153</v>
      </c>
      <c r="C9" s="12">
        <v>114</v>
      </c>
      <c r="D9" s="12">
        <v>9</v>
      </c>
      <c r="E9" s="90">
        <f t="shared" si="11"/>
        <v>0.078947368421052627</v>
      </c>
      <c r="F9" s="12"/>
      <c r="G9" s="12"/>
      <c r="H9" s="90"/>
      <c r="I9" s="12">
        <f t="shared" si="17"/>
        <v>114</v>
      </c>
      <c r="J9" s="12">
        <f t="shared" si="17"/>
        <v>9</v>
      </c>
      <c r="K9" s="90"/>
      <c r="L9" s="94">
        <v>5.7400000000000002</v>
      </c>
      <c r="M9" s="95">
        <v>0</v>
      </c>
      <c r="N9" s="93">
        <f t="shared" si="15"/>
        <v>0</v>
      </c>
      <c r="O9" s="95">
        <v>0</v>
      </c>
      <c r="P9" s="95">
        <v>0</v>
      </c>
      <c r="Q9" s="93">
        <v>0</v>
      </c>
    </row>
    <row r="10" ht="15.75" hidden="1" customHeight="1" outlineLevel="1">
      <c r="A10" s="11"/>
      <c r="B10" s="11" t="s">
        <v>154</v>
      </c>
      <c r="C10" s="12">
        <v>125</v>
      </c>
      <c r="D10" s="12">
        <v>4</v>
      </c>
      <c r="E10" s="90">
        <f t="shared" si="11"/>
        <v>0.032000000000000001</v>
      </c>
      <c r="F10" s="12"/>
      <c r="G10" s="12"/>
      <c r="H10" s="90"/>
      <c r="I10" s="12">
        <f t="shared" ref="I10:J12" si="18">C10-F10</f>
        <v>125</v>
      </c>
      <c r="J10" s="12">
        <f t="shared" si="18"/>
        <v>4</v>
      </c>
      <c r="K10" s="90"/>
      <c r="L10" s="94">
        <v>8</v>
      </c>
      <c r="M10" s="95">
        <v>0</v>
      </c>
      <c r="N10" s="93">
        <f t="shared" si="15"/>
        <v>0</v>
      </c>
      <c r="O10" s="95">
        <v>1</v>
      </c>
      <c r="P10" s="95">
        <v>0</v>
      </c>
      <c r="Q10" s="93">
        <f>P10/O10*100%</f>
        <v>0</v>
      </c>
    </row>
    <row r="11" ht="15.75" hidden="1" customHeight="1" outlineLevel="1">
      <c r="A11" s="11"/>
      <c r="B11" s="11" t="s">
        <v>155</v>
      </c>
      <c r="C11" s="12">
        <v>81.629999999999995</v>
      </c>
      <c r="D11" s="12">
        <v>6</v>
      </c>
      <c r="E11" s="90">
        <f t="shared" si="11"/>
        <v>0.073502388827636905</v>
      </c>
      <c r="F11" s="12"/>
      <c r="G11" s="12"/>
      <c r="H11" s="90"/>
      <c r="I11" s="12">
        <f t="shared" si="18"/>
        <v>81.629999999999995</v>
      </c>
      <c r="J11" s="12">
        <f t="shared" si="18"/>
        <v>6</v>
      </c>
      <c r="K11" s="90"/>
      <c r="L11" s="94">
        <f>1.77+0.58</f>
        <v>2.3500000000000001</v>
      </c>
      <c r="M11" s="95">
        <v>1</v>
      </c>
      <c r="N11" s="93">
        <f t="shared" si="15"/>
        <v>0.42553191489361702</v>
      </c>
      <c r="O11" s="95">
        <v>0</v>
      </c>
      <c r="P11" s="95">
        <v>0</v>
      </c>
      <c r="Q11" s="93">
        <v>0</v>
      </c>
    </row>
    <row r="12" ht="15.75" hidden="1" customHeight="1" outlineLevel="1">
      <c r="A12" s="11"/>
      <c r="B12" s="11" t="s">
        <v>156</v>
      </c>
      <c r="C12" s="96">
        <f>30.4+6.92+8.9+48.05</f>
        <v>94.269999999999996</v>
      </c>
      <c r="D12" s="12">
        <f>1+4</f>
        <v>5</v>
      </c>
      <c r="E12" s="90">
        <f t="shared" si="11"/>
        <v>0.053039142887450944</v>
      </c>
      <c r="F12" s="96"/>
      <c r="G12" s="12"/>
      <c r="H12" s="90"/>
      <c r="I12" s="12">
        <f t="shared" si="18"/>
        <v>94.269999999999996</v>
      </c>
      <c r="J12" s="12">
        <f t="shared" si="18"/>
        <v>5</v>
      </c>
      <c r="K12" s="90"/>
      <c r="L12" s="94">
        <v>7</v>
      </c>
      <c r="M12" s="95">
        <v>0</v>
      </c>
      <c r="N12" s="93">
        <f t="shared" si="15"/>
        <v>0</v>
      </c>
      <c r="O12" s="95">
        <v>2</v>
      </c>
      <c r="P12" s="95">
        <v>1</v>
      </c>
      <c r="Q12" s="93">
        <f t="shared" ref="Q12:Q75" si="19">P12/O12*100%</f>
        <v>0.5</v>
      </c>
    </row>
    <row r="13" ht="15.75" customHeight="1" collapsed="1">
      <c r="A13" s="88" t="s">
        <v>157</v>
      </c>
      <c r="B13" s="88" t="s">
        <v>148</v>
      </c>
      <c r="C13" s="89">
        <f t="shared" ref="C13:D13" si="20">SUM(C14:C21)</f>
        <v>799.79999999999995</v>
      </c>
      <c r="D13" s="89">
        <f t="shared" si="20"/>
        <v>35.530000000000001</v>
      </c>
      <c r="E13" s="90">
        <f t="shared" si="11"/>
        <v>0.044423605901475371</v>
      </c>
      <c r="F13" s="89">
        <f t="shared" ref="F13:G58" si="21">SUM(F14:F21)</f>
        <v>75.319999999999993</v>
      </c>
      <c r="G13" s="89">
        <f t="shared" si="21"/>
        <v>3.4500000000000002</v>
      </c>
      <c r="H13" s="90">
        <f>G13/F13*100%</f>
        <v>0.045804567180031869</v>
      </c>
      <c r="I13" s="89">
        <f t="shared" ref="I13:J13" si="22">SUM(I14:I21)</f>
        <v>724.48000000000002</v>
      </c>
      <c r="J13" s="89">
        <f t="shared" si="22"/>
        <v>32.079999999999998</v>
      </c>
      <c r="K13" s="90">
        <f t="shared" ref="K13:K76" si="23">J13/I13*100%</f>
        <v>0.044280035335689041</v>
      </c>
      <c r="L13" s="91">
        <f t="shared" ref="L13:M58" si="24">SUM(L14:L21)</f>
        <v>46</v>
      </c>
      <c r="M13" s="92">
        <f t="shared" si="24"/>
        <v>1</v>
      </c>
      <c r="N13" s="93">
        <f t="shared" si="15"/>
        <v>0.021739130434782608</v>
      </c>
      <c r="O13" s="92">
        <f t="shared" ref="O13:P58" si="25">SUM(O14:O21)</f>
        <v>7.5</v>
      </c>
      <c r="P13" s="92">
        <f t="shared" si="25"/>
        <v>2.5</v>
      </c>
      <c r="Q13" s="93">
        <f t="shared" si="19"/>
        <v>0.33333333333333331</v>
      </c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</row>
    <row r="14" ht="15.75" hidden="1" customHeight="1" outlineLevel="1">
      <c r="A14" s="11"/>
      <c r="B14" s="11" t="s">
        <v>149</v>
      </c>
      <c r="C14" s="12">
        <v>130</v>
      </c>
      <c r="D14" s="12">
        <v>7</v>
      </c>
      <c r="E14" s="90">
        <f t="shared" si="11"/>
        <v>0.053846153846153849</v>
      </c>
      <c r="F14" s="12"/>
      <c r="G14" s="12"/>
      <c r="H14" s="90"/>
      <c r="I14" s="12">
        <f t="shared" ref="I14:J21" si="26">C14-F14</f>
        <v>130</v>
      </c>
      <c r="J14" s="12">
        <f t="shared" si="26"/>
        <v>7</v>
      </c>
      <c r="K14" s="90">
        <f t="shared" si="23"/>
        <v>0.053846153846153849</v>
      </c>
      <c r="L14" s="94">
        <v>7</v>
      </c>
      <c r="M14" s="95">
        <v>0</v>
      </c>
      <c r="N14" s="93">
        <f t="shared" si="15"/>
        <v>0</v>
      </c>
      <c r="O14" s="95">
        <v>0</v>
      </c>
      <c r="P14" s="95">
        <v>0</v>
      </c>
      <c r="Q14" s="93">
        <v>0</v>
      </c>
    </row>
    <row r="15" ht="15.75" hidden="1" customHeight="1" outlineLevel="1">
      <c r="A15" s="11"/>
      <c r="B15" s="11" t="s">
        <v>150</v>
      </c>
      <c r="C15" s="12"/>
      <c r="D15" s="12"/>
      <c r="E15" s="90"/>
      <c r="F15" s="12"/>
      <c r="G15" s="12"/>
      <c r="H15" s="90"/>
      <c r="I15" s="12">
        <f t="shared" si="26"/>
        <v>0</v>
      </c>
      <c r="J15" s="12">
        <f t="shared" si="26"/>
        <v>0</v>
      </c>
      <c r="K15" s="90"/>
      <c r="L15" s="94">
        <v>0</v>
      </c>
      <c r="M15" s="95">
        <v>0</v>
      </c>
      <c r="N15" s="93">
        <v>0</v>
      </c>
      <c r="O15" s="95">
        <v>0</v>
      </c>
      <c r="P15" s="95">
        <v>0</v>
      </c>
      <c r="Q15" s="93">
        <v>0</v>
      </c>
    </row>
    <row r="16" ht="15.75" hidden="1" customHeight="1" outlineLevel="1">
      <c r="A16" s="11"/>
      <c r="B16" s="11" t="s">
        <v>151</v>
      </c>
      <c r="C16" s="12">
        <f>243.12-92.05</f>
        <v>151.06999999999999</v>
      </c>
      <c r="D16" s="12">
        <f>7.575-1.925</f>
        <v>5.6500000000000004</v>
      </c>
      <c r="E16" s="90">
        <f t="shared" ref="E16:E79" si="27">D16/C16*100%</f>
        <v>0.037399880849937117</v>
      </c>
      <c r="F16" s="12">
        <v>75.319999999999993</v>
      </c>
      <c r="G16" s="12">
        <v>3.4500000000000002</v>
      </c>
      <c r="H16" s="90"/>
      <c r="I16" s="12">
        <f t="shared" si="26"/>
        <v>75.75</v>
      </c>
      <c r="J16" s="12">
        <f t="shared" si="26"/>
        <v>2.2000000000000002</v>
      </c>
      <c r="K16" s="90">
        <f t="shared" si="23"/>
        <v>0.029042904290429047</v>
      </c>
      <c r="L16" s="94">
        <v>8</v>
      </c>
      <c r="M16" s="95">
        <v>0</v>
      </c>
      <c r="N16" s="93">
        <f t="shared" ref="N16:N79" si="28">M16/L16*100%</f>
        <v>0</v>
      </c>
      <c r="O16" s="95">
        <v>5</v>
      </c>
      <c r="P16" s="95">
        <v>2</v>
      </c>
      <c r="Q16" s="93">
        <f t="shared" si="19"/>
        <v>0.40000000000000002</v>
      </c>
    </row>
    <row r="17" ht="15.75" hidden="1" customHeight="1" outlineLevel="1">
      <c r="A17" s="11"/>
      <c r="B17" s="11" t="s">
        <v>152</v>
      </c>
      <c r="C17" s="12">
        <f>35.11+11.71+60.64</f>
        <v>107.46000000000001</v>
      </c>
      <c r="D17" s="12">
        <f>1+4</f>
        <v>5</v>
      </c>
      <c r="E17" s="90">
        <f t="shared" si="27"/>
        <v>0.046528941001302809</v>
      </c>
      <c r="F17" s="12"/>
      <c r="G17" s="12"/>
      <c r="H17" s="90"/>
      <c r="I17" s="12">
        <f t="shared" si="26"/>
        <v>107.46000000000001</v>
      </c>
      <c r="J17" s="12">
        <f t="shared" si="26"/>
        <v>5</v>
      </c>
      <c r="K17" s="90">
        <f t="shared" si="23"/>
        <v>0.046528941001302809</v>
      </c>
      <c r="L17" s="94">
        <v>8</v>
      </c>
      <c r="M17" s="95">
        <v>0</v>
      </c>
      <c r="N17" s="93">
        <f t="shared" si="28"/>
        <v>0</v>
      </c>
      <c r="O17" s="95">
        <v>0</v>
      </c>
      <c r="P17" s="95">
        <v>0</v>
      </c>
      <c r="Q17" s="93">
        <v>0</v>
      </c>
    </row>
    <row r="18" ht="15.75" hidden="1" customHeight="1" outlineLevel="1">
      <c r="A18" s="11"/>
      <c r="B18" s="11" t="s">
        <v>153</v>
      </c>
      <c r="C18" s="12">
        <v>114</v>
      </c>
      <c r="D18" s="12">
        <v>5.8799999999999999</v>
      </c>
      <c r="E18" s="90">
        <f t="shared" si="27"/>
        <v>0.051578947368421051</v>
      </c>
      <c r="F18" s="12"/>
      <c r="G18" s="12"/>
      <c r="H18" s="90"/>
      <c r="I18" s="12">
        <f t="shared" si="26"/>
        <v>114</v>
      </c>
      <c r="J18" s="12">
        <f t="shared" si="26"/>
        <v>5.8799999999999999</v>
      </c>
      <c r="K18" s="90">
        <f t="shared" si="23"/>
        <v>0.051578947368421051</v>
      </c>
      <c r="L18" s="94">
        <v>8</v>
      </c>
      <c r="M18" s="95">
        <v>0</v>
      </c>
      <c r="N18" s="93">
        <f t="shared" si="28"/>
        <v>0</v>
      </c>
      <c r="O18" s="95">
        <v>0</v>
      </c>
      <c r="P18" s="95">
        <v>0</v>
      </c>
      <c r="Q18" s="93">
        <v>0</v>
      </c>
    </row>
    <row r="19" ht="15.75" hidden="1" customHeight="1" outlineLevel="1">
      <c r="A19" s="11"/>
      <c r="B19" s="11" t="s">
        <v>154</v>
      </c>
      <c r="C19" s="12">
        <v>123</v>
      </c>
      <c r="D19" s="12">
        <v>6</v>
      </c>
      <c r="E19" s="90">
        <f t="shared" si="27"/>
        <v>0.04878048780487805</v>
      </c>
      <c r="F19" s="12"/>
      <c r="G19" s="12"/>
      <c r="H19" s="90"/>
      <c r="I19" s="12">
        <f t="shared" si="26"/>
        <v>123</v>
      </c>
      <c r="J19" s="12">
        <f t="shared" si="26"/>
        <v>6</v>
      </c>
      <c r="K19" s="90">
        <f t="shared" si="23"/>
        <v>0.04878048780487805</v>
      </c>
      <c r="L19" s="94">
        <v>7</v>
      </c>
      <c r="M19" s="95">
        <v>1</v>
      </c>
      <c r="N19" s="93">
        <f t="shared" si="28"/>
        <v>0.14285714285714285</v>
      </c>
      <c r="O19" s="95">
        <v>1</v>
      </c>
      <c r="P19" s="95">
        <v>0</v>
      </c>
      <c r="Q19" s="93">
        <f t="shared" si="19"/>
        <v>0</v>
      </c>
    </row>
    <row r="20" ht="15.75" hidden="1" customHeight="1" outlineLevel="1">
      <c r="A20" s="11"/>
      <c r="B20" s="11" t="s">
        <v>155</v>
      </c>
      <c r="C20" s="12">
        <f>19.47+5.8+2+3+30.24+2.6+1.98+14.3</f>
        <v>79.390000000000001</v>
      </c>
      <c r="D20" s="12">
        <f>1</f>
        <v>1</v>
      </c>
      <c r="E20" s="90">
        <f t="shared" si="27"/>
        <v>0.012596044841919637</v>
      </c>
      <c r="F20" s="12"/>
      <c r="G20" s="12"/>
      <c r="H20" s="90"/>
      <c r="I20" s="12">
        <f t="shared" si="26"/>
        <v>79.390000000000001</v>
      </c>
      <c r="J20" s="12">
        <f t="shared" si="26"/>
        <v>1</v>
      </c>
      <c r="K20" s="90">
        <f t="shared" si="23"/>
        <v>0.012596044841919637</v>
      </c>
      <c r="L20" s="94">
        <v>1</v>
      </c>
      <c r="M20" s="95">
        <v>0</v>
      </c>
      <c r="N20" s="93">
        <f t="shared" si="28"/>
        <v>0</v>
      </c>
      <c r="O20" s="95">
        <v>0</v>
      </c>
      <c r="P20" s="95">
        <v>0</v>
      </c>
      <c r="Q20" s="93">
        <v>0</v>
      </c>
    </row>
    <row r="21" ht="15.75" hidden="1" customHeight="1" outlineLevel="1">
      <c r="A21" s="11"/>
      <c r="B21" s="11" t="s">
        <v>156</v>
      </c>
      <c r="C21" s="12">
        <f>30.84+6.95+8.95+48.14</f>
        <v>94.879999999999995</v>
      </c>
      <c r="D21" s="12">
        <f>1+4</f>
        <v>5</v>
      </c>
      <c r="E21" s="90">
        <f t="shared" si="27"/>
        <v>0.052698145025295115</v>
      </c>
      <c r="F21" s="96"/>
      <c r="G21" s="12"/>
      <c r="H21" s="90"/>
      <c r="I21" s="12">
        <f t="shared" si="26"/>
        <v>94.879999999999995</v>
      </c>
      <c r="J21" s="12">
        <f t="shared" si="26"/>
        <v>5</v>
      </c>
      <c r="K21" s="90">
        <f t="shared" si="23"/>
        <v>0.052698145025295115</v>
      </c>
      <c r="L21" s="94">
        <v>7</v>
      </c>
      <c r="M21" s="95">
        <v>0</v>
      </c>
      <c r="N21" s="93">
        <f t="shared" si="28"/>
        <v>0</v>
      </c>
      <c r="O21" s="95">
        <v>1.5</v>
      </c>
      <c r="P21" s="95">
        <v>0.5</v>
      </c>
      <c r="Q21" s="93">
        <f t="shared" si="19"/>
        <v>0.33333333333333331</v>
      </c>
    </row>
    <row r="22" ht="15.75" customHeight="1" collapsed="1">
      <c r="A22" s="88" t="s">
        <v>158</v>
      </c>
      <c r="B22" s="88" t="s">
        <v>148</v>
      </c>
      <c r="C22" s="89">
        <f t="shared" ref="C22:D22" si="29">SUM(C23:C30)</f>
        <v>822.94000000000005</v>
      </c>
      <c r="D22" s="89">
        <f t="shared" si="29"/>
        <v>42.900000000000006</v>
      </c>
      <c r="E22" s="90">
        <f t="shared" si="27"/>
        <v>0.052130167448416656</v>
      </c>
      <c r="F22" s="89">
        <f t="shared" si="21"/>
        <v>75.400000000000006</v>
      </c>
      <c r="G22" s="89">
        <f t="shared" si="21"/>
        <v>3.1499999999999999</v>
      </c>
      <c r="H22" s="90">
        <f>G22/F22*100%</f>
        <v>0.04177718832891246</v>
      </c>
      <c r="I22" s="89">
        <f t="shared" ref="I22:J22" si="30">SUM(I23:I30)</f>
        <v>747.53999999999996</v>
      </c>
      <c r="J22" s="89">
        <f t="shared" si="30"/>
        <v>39.75</v>
      </c>
      <c r="K22" s="90">
        <f t="shared" si="23"/>
        <v>0.053174412071594832</v>
      </c>
      <c r="L22" s="91">
        <f t="shared" si="24"/>
        <v>46.130000000000003</v>
      </c>
      <c r="M22" s="92">
        <v>0</v>
      </c>
      <c r="N22" s="93">
        <f t="shared" si="28"/>
        <v>0</v>
      </c>
      <c r="O22" s="92">
        <f t="shared" si="25"/>
        <v>5</v>
      </c>
      <c r="P22" s="92">
        <f t="shared" si="25"/>
        <v>1</v>
      </c>
      <c r="Q22" s="93">
        <f t="shared" si="19"/>
        <v>0.20000000000000001</v>
      </c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</row>
    <row r="23" ht="15.75" hidden="1" customHeight="1" outlineLevel="1">
      <c r="A23" s="11"/>
      <c r="B23" s="11" t="s">
        <v>149</v>
      </c>
      <c r="C23" s="12">
        <v>144</v>
      </c>
      <c r="D23" s="12">
        <v>10</v>
      </c>
      <c r="E23" s="90">
        <f t="shared" si="27"/>
        <v>0.069444444444444448</v>
      </c>
      <c r="F23" s="12"/>
      <c r="G23" s="12"/>
      <c r="H23" s="90"/>
      <c r="I23" s="12">
        <f t="shared" ref="I23:J30" si="31">C23-F23</f>
        <v>144</v>
      </c>
      <c r="J23" s="12">
        <f t="shared" si="31"/>
        <v>10</v>
      </c>
      <c r="K23" s="90">
        <f t="shared" si="23"/>
        <v>0.069444444444444448</v>
      </c>
      <c r="L23" s="94">
        <v>7</v>
      </c>
      <c r="M23" s="95">
        <v>1</v>
      </c>
      <c r="N23" s="93">
        <f t="shared" si="28"/>
        <v>0.14285714285714285</v>
      </c>
      <c r="O23" s="95">
        <v>0</v>
      </c>
      <c r="P23" s="95">
        <v>0</v>
      </c>
      <c r="Q23" s="93">
        <v>0</v>
      </c>
    </row>
    <row r="24" ht="15.75" hidden="1" customHeight="1" outlineLevel="1">
      <c r="A24" s="11"/>
      <c r="B24" s="11" t="s">
        <v>150</v>
      </c>
      <c r="C24" s="12"/>
      <c r="D24" s="12"/>
      <c r="E24" s="90"/>
      <c r="F24" s="12"/>
      <c r="G24" s="12"/>
      <c r="H24" s="90"/>
      <c r="I24" s="12">
        <f t="shared" si="31"/>
        <v>0</v>
      </c>
      <c r="J24" s="12">
        <f t="shared" si="31"/>
        <v>0</v>
      </c>
      <c r="K24" s="90"/>
      <c r="L24" s="94">
        <v>0</v>
      </c>
      <c r="M24" s="95">
        <v>0</v>
      </c>
      <c r="N24" s="93">
        <v>0</v>
      </c>
      <c r="O24" s="95">
        <v>0</v>
      </c>
      <c r="P24" s="95">
        <v>0</v>
      </c>
      <c r="Q24" s="93">
        <v>0</v>
      </c>
    </row>
    <row r="25" ht="15.75" hidden="1" customHeight="1" outlineLevel="1">
      <c r="A25" s="11"/>
      <c r="B25" s="11" t="s">
        <v>151</v>
      </c>
      <c r="C25" s="12">
        <f>240.28-91.26</f>
        <v>149.01999999999998</v>
      </c>
      <c r="D25" s="12">
        <f>8.55-3.45</f>
        <v>5.1000000000000005</v>
      </c>
      <c r="E25" s="90">
        <f t="shared" si="27"/>
        <v>0.034223594148436461</v>
      </c>
      <c r="F25" s="12">
        <v>75.400000000000006</v>
      </c>
      <c r="G25" s="12">
        <v>3.1499999999999999</v>
      </c>
      <c r="H25" s="90"/>
      <c r="I25" s="12">
        <f t="shared" si="31"/>
        <v>73.619999999999976</v>
      </c>
      <c r="J25" s="12">
        <f t="shared" si="31"/>
        <v>1.9500000000000006</v>
      </c>
      <c r="K25" s="90">
        <f t="shared" si="23"/>
        <v>0.026487367563162202</v>
      </c>
      <c r="L25" s="94">
        <v>8</v>
      </c>
      <c r="M25" s="95">
        <v>0</v>
      </c>
      <c r="N25" s="93">
        <f t="shared" si="28"/>
        <v>0</v>
      </c>
      <c r="O25" s="95">
        <v>3</v>
      </c>
      <c r="P25" s="95">
        <v>0</v>
      </c>
      <c r="Q25" s="93">
        <f t="shared" si="19"/>
        <v>0</v>
      </c>
    </row>
    <row r="26" ht="15.75" hidden="1" customHeight="1" outlineLevel="1">
      <c r="A26" s="11"/>
      <c r="B26" s="11" t="s">
        <v>152</v>
      </c>
      <c r="C26" s="12">
        <f>35.56+13+62.12</f>
        <v>110.68000000000001</v>
      </c>
      <c r="D26" s="12">
        <f>1.8+4</f>
        <v>5.7999999999999998</v>
      </c>
      <c r="E26" s="90">
        <f t="shared" si="27"/>
        <v>0.052403324900614376</v>
      </c>
      <c r="F26" s="12"/>
      <c r="G26" s="12"/>
      <c r="H26" s="90"/>
      <c r="I26" s="12">
        <f t="shared" si="31"/>
        <v>110.68000000000001</v>
      </c>
      <c r="J26" s="12">
        <f t="shared" si="31"/>
        <v>5.7999999999999998</v>
      </c>
      <c r="K26" s="90">
        <f t="shared" si="23"/>
        <v>0.052403324900614376</v>
      </c>
      <c r="L26" s="94">
        <v>8.1300000000000008</v>
      </c>
      <c r="M26" s="95">
        <v>1</v>
      </c>
      <c r="N26" s="93">
        <f t="shared" si="28"/>
        <v>0.12300123001230011</v>
      </c>
      <c r="O26" s="95">
        <v>0</v>
      </c>
      <c r="P26" s="95">
        <v>0</v>
      </c>
      <c r="Q26" s="93">
        <v>0</v>
      </c>
    </row>
    <row r="27" ht="15.75" hidden="1" customHeight="1" outlineLevel="1">
      <c r="A27" s="11"/>
      <c r="B27" s="11" t="s">
        <v>153</v>
      </c>
      <c r="C27" s="12">
        <v>121</v>
      </c>
      <c r="D27" s="12">
        <v>11</v>
      </c>
      <c r="E27" s="90">
        <f t="shared" si="27"/>
        <v>0.090909090909090912</v>
      </c>
      <c r="F27" s="12"/>
      <c r="G27" s="12"/>
      <c r="H27" s="90"/>
      <c r="I27" s="12">
        <f t="shared" si="31"/>
        <v>121</v>
      </c>
      <c r="J27" s="12">
        <f t="shared" si="31"/>
        <v>11</v>
      </c>
      <c r="K27" s="90">
        <f t="shared" si="23"/>
        <v>0.090909090909090912</v>
      </c>
      <c r="L27" s="94">
        <v>8</v>
      </c>
      <c r="M27" s="95">
        <v>2</v>
      </c>
      <c r="N27" s="93">
        <f t="shared" si="28"/>
        <v>0.25</v>
      </c>
      <c r="O27" s="95">
        <v>0</v>
      </c>
      <c r="P27" s="95">
        <v>0</v>
      </c>
      <c r="Q27" s="93">
        <v>0</v>
      </c>
    </row>
    <row r="28" ht="15.75" hidden="1" customHeight="1" outlineLevel="1">
      <c r="A28" s="11"/>
      <c r="B28" s="11" t="s">
        <v>154</v>
      </c>
      <c r="C28" s="12">
        <v>122</v>
      </c>
      <c r="D28" s="12">
        <v>5</v>
      </c>
      <c r="E28" s="90">
        <f t="shared" si="27"/>
        <v>0.040983606557377046</v>
      </c>
      <c r="F28" s="12"/>
      <c r="G28" s="12"/>
      <c r="H28" s="90"/>
      <c r="I28" s="12">
        <f t="shared" si="31"/>
        <v>122</v>
      </c>
      <c r="J28" s="12">
        <f t="shared" si="31"/>
        <v>5</v>
      </c>
      <c r="K28" s="90">
        <f t="shared" si="23"/>
        <v>0.040983606557377046</v>
      </c>
      <c r="L28" s="94">
        <v>7</v>
      </c>
      <c r="M28" s="95">
        <v>0</v>
      </c>
      <c r="N28" s="93">
        <f t="shared" si="28"/>
        <v>0</v>
      </c>
      <c r="O28" s="95">
        <v>1</v>
      </c>
      <c r="P28" s="95">
        <v>0</v>
      </c>
      <c r="Q28" s="93">
        <f t="shared" si="19"/>
        <v>0</v>
      </c>
    </row>
    <row r="29" ht="15.75" hidden="1" customHeight="1" outlineLevel="1">
      <c r="A29" s="11"/>
      <c r="B29" s="11" t="s">
        <v>155</v>
      </c>
      <c r="C29" s="12">
        <f>19.63+6.8+5+31.11+2.77+2.98+0.94+12.5</f>
        <v>81.730000000000004</v>
      </c>
      <c r="D29" s="12">
        <v>2</v>
      </c>
      <c r="E29" s="90">
        <f t="shared" si="27"/>
        <v>0.02447081854888046</v>
      </c>
      <c r="F29" s="12"/>
      <c r="G29" s="12"/>
      <c r="H29" s="90"/>
      <c r="I29" s="12">
        <f t="shared" si="31"/>
        <v>81.730000000000004</v>
      </c>
      <c r="J29" s="12">
        <f t="shared" si="31"/>
        <v>2</v>
      </c>
      <c r="K29" s="90">
        <f t="shared" si="23"/>
        <v>0.02447081854888046</v>
      </c>
      <c r="L29" s="94">
        <v>1</v>
      </c>
      <c r="M29" s="95">
        <v>0</v>
      </c>
      <c r="N29" s="93">
        <f t="shared" si="28"/>
        <v>0</v>
      </c>
      <c r="O29" s="95">
        <v>0</v>
      </c>
      <c r="P29" s="95">
        <v>0</v>
      </c>
      <c r="Q29" s="93">
        <v>0</v>
      </c>
    </row>
    <row r="30" ht="15.75" hidden="1" customHeight="1" outlineLevel="1">
      <c r="A30" s="11"/>
      <c r="B30" s="11" t="s">
        <v>156</v>
      </c>
      <c r="C30" s="12">
        <f>30.24+6.95+8.95+48.37</f>
        <v>94.509999999999991</v>
      </c>
      <c r="D30" s="12">
        <v>4</v>
      </c>
      <c r="E30" s="90">
        <f t="shared" si="27"/>
        <v>0.042323563644058836</v>
      </c>
      <c r="F30" s="96"/>
      <c r="G30" s="12"/>
      <c r="H30" s="90"/>
      <c r="I30" s="12">
        <f t="shared" si="31"/>
        <v>94.509999999999991</v>
      </c>
      <c r="J30" s="12">
        <f t="shared" si="31"/>
        <v>4</v>
      </c>
      <c r="K30" s="90">
        <f t="shared" si="23"/>
        <v>0.042323563644058836</v>
      </c>
      <c r="L30" s="94">
        <v>7</v>
      </c>
      <c r="M30" s="95">
        <v>0</v>
      </c>
      <c r="N30" s="93">
        <f t="shared" si="28"/>
        <v>0</v>
      </c>
      <c r="O30" s="95">
        <v>1</v>
      </c>
      <c r="P30" s="95">
        <v>1</v>
      </c>
      <c r="Q30" s="93">
        <f t="shared" si="19"/>
        <v>1</v>
      </c>
    </row>
    <row r="31" ht="15.75" customHeight="1" collapsed="1">
      <c r="A31" s="88" t="s">
        <v>159</v>
      </c>
      <c r="B31" s="88" t="s">
        <v>148</v>
      </c>
      <c r="C31" s="89">
        <f t="shared" ref="C31:D31" si="32">SUM(C32:C39)</f>
        <v>782.95000000000005</v>
      </c>
      <c r="D31" s="89">
        <f t="shared" si="32"/>
        <v>34</v>
      </c>
      <c r="E31" s="90">
        <f t="shared" si="27"/>
        <v>0.043425506098729159</v>
      </c>
      <c r="F31" s="89">
        <f t="shared" si="21"/>
        <v>72.450000000000003</v>
      </c>
      <c r="G31" s="89">
        <f t="shared" si="21"/>
        <v>1</v>
      </c>
      <c r="H31" s="90">
        <f>G31/F31*100%</f>
        <v>0.013802622498274672</v>
      </c>
      <c r="I31" s="89">
        <f t="shared" ref="I31:J31" si="33">SUM(I32:I39)</f>
        <v>710.5</v>
      </c>
      <c r="J31" s="89">
        <f t="shared" si="33"/>
        <v>33</v>
      </c>
      <c r="K31" s="90">
        <f t="shared" si="23"/>
        <v>0.046446164672765661</v>
      </c>
      <c r="L31" s="91">
        <f t="shared" si="24"/>
        <v>40.730000000000004</v>
      </c>
      <c r="M31" s="92">
        <f t="shared" si="24"/>
        <v>4</v>
      </c>
      <c r="N31" s="93">
        <f t="shared" si="28"/>
        <v>0.098207709305180441</v>
      </c>
      <c r="O31" s="92">
        <f t="shared" si="25"/>
        <v>4</v>
      </c>
      <c r="P31" s="92">
        <f t="shared" si="25"/>
        <v>1</v>
      </c>
      <c r="Q31" s="93">
        <f t="shared" si="19"/>
        <v>0.25</v>
      </c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</row>
    <row r="32" ht="15.75" hidden="1" customHeight="1" outlineLevel="1">
      <c r="A32" s="11"/>
      <c r="B32" s="11" t="s">
        <v>149</v>
      </c>
      <c r="C32" s="12">
        <v>134</v>
      </c>
      <c r="D32" s="12">
        <v>6</v>
      </c>
      <c r="E32" s="90">
        <f t="shared" si="27"/>
        <v>0.044776119402985072</v>
      </c>
      <c r="F32" s="12"/>
      <c r="G32" s="12"/>
      <c r="H32" s="90"/>
      <c r="I32" s="12">
        <f t="shared" ref="I32:J39" si="34">C32-F32</f>
        <v>134</v>
      </c>
      <c r="J32" s="12">
        <f t="shared" si="34"/>
        <v>6</v>
      </c>
      <c r="K32" s="90">
        <f t="shared" si="23"/>
        <v>0.044776119402985072</v>
      </c>
      <c r="L32" s="94">
        <v>6</v>
      </c>
      <c r="M32" s="95">
        <v>0</v>
      </c>
      <c r="N32" s="93">
        <f t="shared" si="28"/>
        <v>0</v>
      </c>
      <c r="O32" s="95">
        <v>0</v>
      </c>
      <c r="P32" s="95">
        <v>0</v>
      </c>
      <c r="Q32" s="93">
        <v>0</v>
      </c>
    </row>
    <row r="33" ht="15.75" hidden="1" customHeight="1" outlineLevel="1">
      <c r="A33" s="11"/>
      <c r="B33" s="11" t="s">
        <v>150</v>
      </c>
      <c r="C33" s="12"/>
      <c r="D33" s="12"/>
      <c r="E33" s="90"/>
      <c r="F33" s="12"/>
      <c r="G33" s="12"/>
      <c r="H33" s="90"/>
      <c r="I33" s="12">
        <f t="shared" si="34"/>
        <v>0</v>
      </c>
      <c r="J33" s="12">
        <f t="shared" si="34"/>
        <v>0</v>
      </c>
      <c r="K33" s="90"/>
      <c r="L33" s="94">
        <v>0</v>
      </c>
      <c r="M33" s="95">
        <v>0</v>
      </c>
      <c r="N33" s="93" t="e">
        <f t="shared" si="28"/>
        <v>#DIV/0!</v>
      </c>
      <c r="O33" s="95">
        <v>0</v>
      </c>
      <c r="P33" s="95">
        <v>0</v>
      </c>
      <c r="Q33" s="93">
        <v>0</v>
      </c>
    </row>
    <row r="34" ht="15.75" hidden="1" customHeight="1" outlineLevel="1">
      <c r="A34" s="11"/>
      <c r="B34" s="11" t="s">
        <v>151</v>
      </c>
      <c r="C34" s="12">
        <f>229.47-87</f>
        <v>142.47</v>
      </c>
      <c r="D34" s="12">
        <f>5-0.4</f>
        <v>4.5999999999999996</v>
      </c>
      <c r="E34" s="90">
        <f t="shared" si="27"/>
        <v>0.032287499122622305</v>
      </c>
      <c r="F34" s="12">
        <v>72.450000000000003</v>
      </c>
      <c r="G34" s="12">
        <v>1</v>
      </c>
      <c r="H34" s="90"/>
      <c r="I34" s="12">
        <f t="shared" si="34"/>
        <v>70.019999999999996</v>
      </c>
      <c r="J34" s="12">
        <f t="shared" si="34"/>
        <v>3.5999999999999996</v>
      </c>
      <c r="K34" s="90">
        <f t="shared" si="23"/>
        <v>0.051413881748071974</v>
      </c>
      <c r="L34" s="94">
        <v>8</v>
      </c>
      <c r="M34" s="95">
        <v>0</v>
      </c>
      <c r="N34" s="93">
        <f t="shared" si="28"/>
        <v>0</v>
      </c>
      <c r="O34" s="95">
        <v>3</v>
      </c>
      <c r="P34" s="95">
        <v>1</v>
      </c>
      <c r="Q34" s="93">
        <f t="shared" si="19"/>
        <v>0.33333333333333331</v>
      </c>
    </row>
    <row r="35" ht="15.75" hidden="1" customHeight="1" outlineLevel="1">
      <c r="A35" s="11"/>
      <c r="B35" s="11" t="s">
        <v>152</v>
      </c>
      <c r="C35" s="12">
        <f>34.34+12.27+59.94</f>
        <v>106.55</v>
      </c>
      <c r="D35" s="12">
        <f>3</f>
        <v>3</v>
      </c>
      <c r="E35" s="90">
        <f t="shared" si="27"/>
        <v>0.028155795401220086</v>
      </c>
      <c r="F35" s="12"/>
      <c r="G35" s="12"/>
      <c r="H35" s="90"/>
      <c r="I35" s="12">
        <f t="shared" si="34"/>
        <v>106.55</v>
      </c>
      <c r="J35" s="12">
        <f t="shared" si="34"/>
        <v>3</v>
      </c>
      <c r="K35" s="90">
        <f t="shared" si="23"/>
        <v>0.028155795401220086</v>
      </c>
      <c r="L35" s="94">
        <v>7.0300000000000002</v>
      </c>
      <c r="M35" s="95">
        <v>1</v>
      </c>
      <c r="N35" s="93">
        <f t="shared" si="28"/>
        <v>0.14224751066856328</v>
      </c>
      <c r="O35" s="95">
        <v>0</v>
      </c>
      <c r="P35" s="95">
        <v>0</v>
      </c>
      <c r="Q35" s="93">
        <v>0</v>
      </c>
    </row>
    <row r="36" ht="15.75" hidden="1" customHeight="1" outlineLevel="1">
      <c r="A36" s="11"/>
      <c r="B36" s="11" t="s">
        <v>153</v>
      </c>
      <c r="C36" s="12">
        <v>114.23999999999999</v>
      </c>
      <c r="D36" s="12">
        <v>6.5</v>
      </c>
      <c r="E36" s="90">
        <f t="shared" si="27"/>
        <v>0.056897759103641456</v>
      </c>
      <c r="F36" s="12"/>
      <c r="G36" s="12"/>
      <c r="H36" s="90"/>
      <c r="I36" s="12">
        <f t="shared" si="34"/>
        <v>114.23999999999999</v>
      </c>
      <c r="J36" s="12">
        <f t="shared" si="34"/>
        <v>6.5</v>
      </c>
      <c r="K36" s="90">
        <f t="shared" si="23"/>
        <v>0.056897759103641456</v>
      </c>
      <c r="L36" s="94">
        <v>5.7300000000000004</v>
      </c>
      <c r="M36" s="95">
        <v>1</v>
      </c>
      <c r="N36" s="93">
        <f t="shared" si="28"/>
        <v>0.17452006980802792</v>
      </c>
      <c r="O36" s="95">
        <v>0</v>
      </c>
      <c r="P36" s="95">
        <v>0</v>
      </c>
      <c r="Q36" s="93">
        <v>0</v>
      </c>
    </row>
    <row r="37" ht="15.75" hidden="1" customHeight="1" outlineLevel="1">
      <c r="A37" s="11"/>
      <c r="B37" s="11" t="s">
        <v>154</v>
      </c>
      <c r="C37" s="12">
        <v>116</v>
      </c>
      <c r="D37" s="12">
        <v>3</v>
      </c>
      <c r="E37" s="90">
        <f t="shared" si="27"/>
        <v>0.025862068965517241</v>
      </c>
      <c r="F37" s="12"/>
      <c r="G37" s="12"/>
      <c r="H37" s="90"/>
      <c r="I37" s="12">
        <f t="shared" si="34"/>
        <v>116</v>
      </c>
      <c r="J37" s="12">
        <f t="shared" si="34"/>
        <v>3</v>
      </c>
      <c r="K37" s="90">
        <f t="shared" si="23"/>
        <v>0.025862068965517241</v>
      </c>
      <c r="L37" s="94">
        <v>6</v>
      </c>
      <c r="M37" s="95">
        <v>1</v>
      </c>
      <c r="N37" s="93">
        <f t="shared" si="28"/>
        <v>0.16666666666666666</v>
      </c>
      <c r="O37" s="95">
        <v>1</v>
      </c>
      <c r="P37" s="95">
        <v>0</v>
      </c>
      <c r="Q37" s="93">
        <f t="shared" si="19"/>
        <v>0</v>
      </c>
    </row>
    <row r="38" ht="15.75" hidden="1" customHeight="1" outlineLevel="1">
      <c r="A38" s="11"/>
      <c r="B38" s="11" t="s">
        <v>155</v>
      </c>
      <c r="C38" s="12">
        <f>19.16+2.77+9.59+2+33.82+11.5</f>
        <v>78.840000000000003</v>
      </c>
      <c r="D38" s="12">
        <f>1.5+1.9+1.5</f>
        <v>4.9000000000000004</v>
      </c>
      <c r="E38" s="90">
        <f t="shared" si="27"/>
        <v>0.062151192288178593</v>
      </c>
      <c r="F38" s="12"/>
      <c r="G38" s="12"/>
      <c r="H38" s="90"/>
      <c r="I38" s="12">
        <f t="shared" si="34"/>
        <v>78.840000000000003</v>
      </c>
      <c r="J38" s="12">
        <f t="shared" si="34"/>
        <v>4.9000000000000004</v>
      </c>
      <c r="K38" s="90">
        <f t="shared" si="23"/>
        <v>0.062151192288178593</v>
      </c>
      <c r="L38" s="94">
        <v>1</v>
      </c>
      <c r="M38" s="95">
        <v>0</v>
      </c>
      <c r="N38" s="93">
        <f t="shared" si="28"/>
        <v>0</v>
      </c>
      <c r="O38" s="95">
        <v>0</v>
      </c>
      <c r="P38" s="95">
        <v>0</v>
      </c>
      <c r="Q38" s="93">
        <v>0</v>
      </c>
    </row>
    <row r="39" ht="15.75" hidden="1" customHeight="1" outlineLevel="1">
      <c r="A39" s="11"/>
      <c r="B39" s="11" t="s">
        <v>156</v>
      </c>
      <c r="C39" s="12">
        <f>28.91+6.95+8.95+46.04</f>
        <v>90.849999999999994</v>
      </c>
      <c r="D39" s="12">
        <f>1.5+4.5</f>
        <v>6</v>
      </c>
      <c r="E39" s="90">
        <f t="shared" si="27"/>
        <v>0.066042927903137039</v>
      </c>
      <c r="F39" s="96"/>
      <c r="G39" s="12"/>
      <c r="H39" s="90"/>
      <c r="I39" s="12">
        <f t="shared" si="34"/>
        <v>90.849999999999994</v>
      </c>
      <c r="J39" s="12">
        <f t="shared" si="34"/>
        <v>6</v>
      </c>
      <c r="K39" s="90">
        <f t="shared" si="23"/>
        <v>0.066042927903137039</v>
      </c>
      <c r="L39" s="94">
        <v>6.9699999999999998</v>
      </c>
      <c r="M39" s="95">
        <v>1</v>
      </c>
      <c r="N39" s="93">
        <f t="shared" si="28"/>
        <v>0.14347202295552366</v>
      </c>
      <c r="O39" s="95">
        <v>0</v>
      </c>
      <c r="P39" s="95">
        <v>0</v>
      </c>
      <c r="Q39" s="93">
        <v>0</v>
      </c>
    </row>
    <row r="40" ht="15.75" customHeight="1" collapsed="1">
      <c r="A40" s="88" t="s">
        <v>160</v>
      </c>
      <c r="B40" s="88" t="s">
        <v>148</v>
      </c>
      <c r="C40" s="89">
        <f t="shared" ref="C40:D40" si="35">SUM(C41:C48)</f>
        <v>764.57999999999993</v>
      </c>
      <c r="D40" s="89">
        <f t="shared" si="35"/>
        <v>31.035</v>
      </c>
      <c r="E40" s="90">
        <f t="shared" si="27"/>
        <v>0.040590912657929849</v>
      </c>
      <c r="F40" s="89">
        <f t="shared" si="21"/>
        <v>71.730000000000004</v>
      </c>
      <c r="G40" s="89">
        <f t="shared" si="21"/>
        <v>1</v>
      </c>
      <c r="H40" s="90">
        <f>G40/F40*100%</f>
        <v>0.013941168269901017</v>
      </c>
      <c r="I40" s="89">
        <f t="shared" ref="I40:J40" si="36">SUM(I41:I48)</f>
        <v>692.84999999999991</v>
      </c>
      <c r="J40" s="89">
        <f t="shared" si="36"/>
        <v>30.035</v>
      </c>
      <c r="K40" s="90">
        <f t="shared" si="23"/>
        <v>0.0433499314425922</v>
      </c>
      <c r="L40" s="91">
        <f t="shared" si="24"/>
        <v>40.989999999999995</v>
      </c>
      <c r="M40" s="92">
        <f t="shared" si="24"/>
        <v>5.5</v>
      </c>
      <c r="N40" s="93">
        <f t="shared" si="28"/>
        <v>0.13417906806538182</v>
      </c>
      <c r="O40" s="92">
        <f t="shared" si="25"/>
        <v>3</v>
      </c>
      <c r="P40" s="92">
        <f t="shared" si="25"/>
        <v>0</v>
      </c>
      <c r="Q40" s="93">
        <f t="shared" si="19"/>
        <v>0</v>
      </c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</row>
    <row r="41" ht="15.75" hidden="1" customHeight="1" outlineLevel="1">
      <c r="A41" s="11"/>
      <c r="B41" s="11" t="s">
        <v>149</v>
      </c>
      <c r="C41" s="12">
        <v>132</v>
      </c>
      <c r="D41" s="12">
        <v>10</v>
      </c>
      <c r="E41" s="90">
        <f t="shared" si="27"/>
        <v>0.07575757575757576</v>
      </c>
      <c r="F41" s="12"/>
      <c r="G41" s="12"/>
      <c r="H41" s="90"/>
      <c r="I41" s="12">
        <f t="shared" ref="I41:J48" si="37">C41-F41</f>
        <v>132</v>
      </c>
      <c r="J41" s="12">
        <f t="shared" si="37"/>
        <v>10</v>
      </c>
      <c r="K41" s="90">
        <f t="shared" si="23"/>
        <v>0.07575757575757576</v>
      </c>
      <c r="L41" s="94">
        <v>5</v>
      </c>
      <c r="M41" s="95">
        <v>2</v>
      </c>
      <c r="N41" s="93">
        <f t="shared" si="28"/>
        <v>0.40000000000000002</v>
      </c>
      <c r="O41" s="95">
        <v>0</v>
      </c>
      <c r="P41" s="95">
        <v>0</v>
      </c>
      <c r="Q41" s="93">
        <v>0</v>
      </c>
    </row>
    <row r="42" ht="15.75" hidden="1" customHeight="1" outlineLevel="1">
      <c r="A42" s="11"/>
      <c r="B42" s="11" t="s">
        <v>150</v>
      </c>
      <c r="C42" s="12"/>
      <c r="D42" s="12"/>
      <c r="E42" s="90"/>
      <c r="F42" s="12"/>
      <c r="G42" s="12"/>
      <c r="H42" s="90"/>
      <c r="I42" s="12">
        <f t="shared" si="37"/>
        <v>0</v>
      </c>
      <c r="J42" s="12">
        <f t="shared" si="37"/>
        <v>0</v>
      </c>
      <c r="K42" s="90"/>
      <c r="L42" s="94">
        <v>0</v>
      </c>
      <c r="M42" s="95">
        <v>0</v>
      </c>
      <c r="N42" s="93">
        <v>0</v>
      </c>
      <c r="O42" s="95">
        <v>0</v>
      </c>
      <c r="P42" s="95">
        <v>0</v>
      </c>
      <c r="Q42" s="93">
        <v>0</v>
      </c>
    </row>
    <row r="43" ht="15.75" hidden="1" customHeight="1" outlineLevel="1">
      <c r="A43" s="11"/>
      <c r="B43" s="11" t="s">
        <v>151</v>
      </c>
      <c r="C43" s="12">
        <f>224.81-86.06</f>
        <v>138.75</v>
      </c>
      <c r="D43" s="12">
        <f>2.675-1</f>
        <v>1.6749999999999998</v>
      </c>
      <c r="E43" s="90">
        <f t="shared" si="27"/>
        <v>0.01207207207207207</v>
      </c>
      <c r="F43" s="12">
        <v>71.730000000000004</v>
      </c>
      <c r="G43" s="12">
        <v>1</v>
      </c>
      <c r="H43" s="90"/>
      <c r="I43" s="12">
        <f t="shared" si="37"/>
        <v>67.019999999999996</v>
      </c>
      <c r="J43" s="12">
        <f t="shared" si="37"/>
        <v>0.67499999999999982</v>
      </c>
      <c r="K43" s="90">
        <f t="shared" si="23"/>
        <v>0.010071620411817367</v>
      </c>
      <c r="L43" s="94">
        <v>7.9800000000000004</v>
      </c>
      <c r="M43" s="95">
        <v>0.5</v>
      </c>
      <c r="N43" s="93">
        <f t="shared" si="28"/>
        <v>0.062656641604010022</v>
      </c>
      <c r="O43" s="95">
        <v>2</v>
      </c>
      <c r="P43" s="95">
        <v>0</v>
      </c>
      <c r="Q43" s="93">
        <f t="shared" si="19"/>
        <v>0</v>
      </c>
    </row>
    <row r="44" ht="15.75" hidden="1" customHeight="1" outlineLevel="1">
      <c r="A44" s="11"/>
      <c r="B44" s="11" t="s">
        <v>152</v>
      </c>
      <c r="C44" s="12">
        <f>36.54+12+59.22</f>
        <v>107.75999999999999</v>
      </c>
      <c r="D44" s="12">
        <f>1.1+3.26</f>
        <v>4.3599999999999994</v>
      </c>
      <c r="E44" s="90">
        <f t="shared" si="27"/>
        <v>0.040460282108389013</v>
      </c>
      <c r="F44" s="12"/>
      <c r="G44" s="12"/>
      <c r="H44" s="90"/>
      <c r="I44" s="12">
        <f t="shared" si="37"/>
        <v>107.75999999999999</v>
      </c>
      <c r="J44" s="12">
        <f t="shared" si="37"/>
        <v>4.3599999999999994</v>
      </c>
      <c r="K44" s="90">
        <f t="shared" si="23"/>
        <v>0.040460282108389013</v>
      </c>
      <c r="L44" s="94">
        <v>9.0600000000000005</v>
      </c>
      <c r="M44" s="95">
        <v>1</v>
      </c>
      <c r="N44" s="93">
        <f t="shared" si="28"/>
        <v>0.11037527593818984</v>
      </c>
      <c r="O44" s="95">
        <v>0</v>
      </c>
      <c r="P44" s="95">
        <v>0</v>
      </c>
      <c r="Q44" s="93">
        <v>0</v>
      </c>
    </row>
    <row r="45" ht="15.75" hidden="1" customHeight="1" outlineLevel="1">
      <c r="A45" s="11"/>
      <c r="B45" s="11" t="s">
        <v>153</v>
      </c>
      <c r="C45" s="12">
        <v>109.76000000000001</v>
      </c>
      <c r="D45" s="12">
        <v>8</v>
      </c>
      <c r="E45" s="90">
        <f t="shared" si="27"/>
        <v>0.072886297376093284</v>
      </c>
      <c r="F45" s="12"/>
      <c r="G45" s="12"/>
      <c r="H45" s="90"/>
      <c r="I45" s="12">
        <f t="shared" si="37"/>
        <v>109.76000000000001</v>
      </c>
      <c r="J45" s="12">
        <f t="shared" si="37"/>
        <v>8</v>
      </c>
      <c r="K45" s="90">
        <f t="shared" si="23"/>
        <v>0.072886297376093284</v>
      </c>
      <c r="L45" s="94">
        <v>5</v>
      </c>
      <c r="M45" s="95">
        <v>1</v>
      </c>
      <c r="N45" s="93">
        <f t="shared" si="28"/>
        <v>0.20000000000000001</v>
      </c>
      <c r="O45" s="95">
        <v>0</v>
      </c>
      <c r="P45" s="95">
        <v>0</v>
      </c>
      <c r="Q45" s="93">
        <v>0</v>
      </c>
    </row>
    <row r="46" ht="15.75" hidden="1" customHeight="1" outlineLevel="1">
      <c r="A46" s="11"/>
      <c r="B46" s="11" t="s">
        <v>154</v>
      </c>
      <c r="C46" s="12">
        <v>118</v>
      </c>
      <c r="D46" s="12">
        <v>2</v>
      </c>
      <c r="E46" s="90">
        <f t="shared" si="27"/>
        <v>0.016949152542372881</v>
      </c>
      <c r="F46" s="12"/>
      <c r="G46" s="12"/>
      <c r="H46" s="90"/>
      <c r="I46" s="12">
        <f t="shared" si="37"/>
        <v>118</v>
      </c>
      <c r="J46" s="12">
        <f t="shared" si="37"/>
        <v>2</v>
      </c>
      <c r="K46" s="90">
        <f t="shared" si="23"/>
        <v>0.016949152542372881</v>
      </c>
      <c r="L46" s="94">
        <v>5.8700000000000001</v>
      </c>
      <c r="M46" s="95">
        <v>1</v>
      </c>
      <c r="N46" s="93">
        <f t="shared" si="28"/>
        <v>0.17035775127768313</v>
      </c>
      <c r="O46" s="95">
        <v>1</v>
      </c>
      <c r="P46" s="95">
        <v>0</v>
      </c>
      <c r="Q46" s="93">
        <f t="shared" si="19"/>
        <v>0</v>
      </c>
    </row>
    <row r="47" ht="15.75" hidden="1" customHeight="1" outlineLevel="1">
      <c r="A47" s="11"/>
      <c r="B47" s="11" t="s">
        <v>155</v>
      </c>
      <c r="C47" s="12">
        <f>20.24+5.5+2.77+3.16+5+31.6</f>
        <v>68.27000000000001</v>
      </c>
      <c r="D47" s="12">
        <v>2</v>
      </c>
      <c r="E47" s="90">
        <f t="shared" si="27"/>
        <v>0.029295444558371169</v>
      </c>
      <c r="F47" s="12"/>
      <c r="G47" s="12"/>
      <c r="H47" s="90"/>
      <c r="I47" s="12">
        <f t="shared" si="37"/>
        <v>68.27000000000001</v>
      </c>
      <c r="J47" s="12">
        <f t="shared" si="37"/>
        <v>2</v>
      </c>
      <c r="K47" s="90">
        <f t="shared" si="23"/>
        <v>0.029295444558371169</v>
      </c>
      <c r="L47" s="94">
        <v>1.3999999999999999</v>
      </c>
      <c r="M47" s="95">
        <v>0</v>
      </c>
      <c r="N47" s="93">
        <f t="shared" si="28"/>
        <v>0</v>
      </c>
      <c r="O47" s="95">
        <v>0</v>
      </c>
      <c r="P47" s="95">
        <v>0</v>
      </c>
      <c r="Q47" s="93">
        <v>0</v>
      </c>
    </row>
    <row r="48" ht="15.75" hidden="1" customHeight="1" outlineLevel="1">
      <c r="A48" s="11"/>
      <c r="B48" s="11" t="s">
        <v>156</v>
      </c>
      <c r="C48" s="12">
        <f>28.52+6.95+9.25+45.32</f>
        <v>90.039999999999992</v>
      </c>
      <c r="D48" s="12">
        <v>3</v>
      </c>
      <c r="E48" s="90">
        <f t="shared" si="27"/>
        <v>0.03331852509995558</v>
      </c>
      <c r="F48" s="96"/>
      <c r="G48" s="12"/>
      <c r="H48" s="90"/>
      <c r="I48" s="12">
        <f t="shared" si="37"/>
        <v>90.039999999999992</v>
      </c>
      <c r="J48" s="12">
        <f t="shared" si="37"/>
        <v>3</v>
      </c>
      <c r="K48" s="90">
        <f t="shared" si="23"/>
        <v>0.03331852509995558</v>
      </c>
      <c r="L48" s="94">
        <v>6.6799999999999997</v>
      </c>
      <c r="M48" s="95">
        <v>0</v>
      </c>
      <c r="N48" s="93">
        <f t="shared" si="28"/>
        <v>0</v>
      </c>
      <c r="O48" s="95">
        <v>0</v>
      </c>
      <c r="P48" s="95">
        <v>0</v>
      </c>
      <c r="Q48" s="93">
        <v>0</v>
      </c>
    </row>
    <row r="49" ht="15.75" customHeight="1" collapsed="1">
      <c r="A49" s="88" t="s">
        <v>161</v>
      </c>
      <c r="B49" s="88" t="s">
        <v>148</v>
      </c>
      <c r="C49" s="89">
        <f t="shared" ref="C49:D49" si="38">SUM(C50:C57)</f>
        <v>749.60000000000002</v>
      </c>
      <c r="D49" s="89">
        <f t="shared" si="38"/>
        <v>28.300000000000001</v>
      </c>
      <c r="E49" s="90">
        <f t="shared" si="27"/>
        <v>0.037753468516542155</v>
      </c>
      <c r="F49" s="89">
        <f t="shared" si="21"/>
        <v>70.959999999999994</v>
      </c>
      <c r="G49" s="89">
        <f t="shared" si="21"/>
        <v>2</v>
      </c>
      <c r="H49" s="90">
        <f>G49/F49*100%</f>
        <v>0.028184892897406992</v>
      </c>
      <c r="I49" s="89">
        <f t="shared" ref="I49:J49" si="39">SUM(I50:I57)</f>
        <v>678.63999999999999</v>
      </c>
      <c r="J49" s="89">
        <f t="shared" si="39"/>
        <v>26.300000000000001</v>
      </c>
      <c r="K49" s="90">
        <f t="shared" si="23"/>
        <v>0.038753978545325946</v>
      </c>
      <c r="L49" s="91">
        <f t="shared" si="24"/>
        <v>38.100000000000001</v>
      </c>
      <c r="M49" s="92">
        <f t="shared" si="24"/>
        <v>2</v>
      </c>
      <c r="N49" s="93">
        <f t="shared" si="28"/>
        <v>0.052493438320209973</v>
      </c>
      <c r="O49" s="92">
        <f t="shared" si="25"/>
        <v>3.7000000000000002</v>
      </c>
      <c r="P49" s="92">
        <f t="shared" si="25"/>
        <v>0</v>
      </c>
      <c r="Q49" s="93">
        <f t="shared" si="19"/>
        <v>0</v>
      </c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ht="15.75" hidden="1" customHeight="1" outlineLevel="1">
      <c r="A50" s="11"/>
      <c r="B50" s="11" t="s">
        <v>149</v>
      </c>
      <c r="C50" s="12">
        <v>119</v>
      </c>
      <c r="D50" s="12">
        <v>9</v>
      </c>
      <c r="E50" s="90">
        <f t="shared" si="27"/>
        <v>0.075630252100840331</v>
      </c>
      <c r="F50" s="12"/>
      <c r="G50" s="12"/>
      <c r="H50" s="90"/>
      <c r="I50" s="12">
        <f t="shared" ref="I50:J57" si="40">C50-F50</f>
        <v>119</v>
      </c>
      <c r="J50" s="12">
        <f t="shared" si="40"/>
        <v>9</v>
      </c>
      <c r="K50" s="90">
        <f t="shared" si="23"/>
        <v>0.075630252100840331</v>
      </c>
      <c r="L50" s="94">
        <v>4</v>
      </c>
      <c r="M50" s="95">
        <v>0</v>
      </c>
      <c r="N50" s="93">
        <f t="shared" si="28"/>
        <v>0</v>
      </c>
      <c r="O50" s="95">
        <v>0</v>
      </c>
      <c r="P50" s="95">
        <v>0</v>
      </c>
      <c r="Q50" s="93">
        <v>0</v>
      </c>
    </row>
    <row r="51" ht="15.75" hidden="1" customHeight="1" outlineLevel="1">
      <c r="A51" s="11"/>
      <c r="B51" s="11" t="s">
        <v>150</v>
      </c>
      <c r="C51" s="12"/>
      <c r="D51" s="12"/>
      <c r="E51" s="90" t="e">
        <f t="shared" si="27"/>
        <v>#DIV/0!</v>
      </c>
      <c r="F51" s="12"/>
      <c r="G51" s="12"/>
      <c r="H51" s="90"/>
      <c r="I51" s="12">
        <f t="shared" si="40"/>
        <v>0</v>
      </c>
      <c r="J51" s="12">
        <f t="shared" si="40"/>
        <v>0</v>
      </c>
      <c r="K51" s="90" t="e">
        <f t="shared" si="23"/>
        <v>#DIV/0!</v>
      </c>
      <c r="L51" s="94">
        <v>0</v>
      </c>
      <c r="M51" s="95">
        <v>0</v>
      </c>
      <c r="N51" s="93">
        <v>0</v>
      </c>
      <c r="O51" s="95">
        <v>0</v>
      </c>
      <c r="P51" s="95">
        <v>0</v>
      </c>
      <c r="Q51" s="93">
        <v>0</v>
      </c>
    </row>
    <row r="52" ht="15.75" hidden="1" customHeight="1" outlineLevel="1">
      <c r="A52" s="11"/>
      <c r="B52" s="11" t="s">
        <v>151</v>
      </c>
      <c r="C52" s="12">
        <f>224.29-86.36</f>
        <v>137.93000000000001</v>
      </c>
      <c r="D52" s="12">
        <f>2.25-0.25</f>
        <v>2</v>
      </c>
      <c r="E52" s="90">
        <f t="shared" si="27"/>
        <v>0.01450010875081563</v>
      </c>
      <c r="F52" s="12">
        <v>70.959999999999994</v>
      </c>
      <c r="G52" s="12">
        <v>2</v>
      </c>
      <c r="H52" s="90"/>
      <c r="I52" s="12">
        <f t="shared" si="40"/>
        <v>66.970000000000013</v>
      </c>
      <c r="J52" s="12">
        <f t="shared" si="40"/>
        <v>0</v>
      </c>
      <c r="K52" s="90">
        <f t="shared" si="23"/>
        <v>0</v>
      </c>
      <c r="L52" s="94">
        <v>7.5</v>
      </c>
      <c r="M52" s="95">
        <v>0</v>
      </c>
      <c r="N52" s="93">
        <f t="shared" si="28"/>
        <v>0</v>
      </c>
      <c r="O52" s="95">
        <v>2</v>
      </c>
      <c r="P52" s="95">
        <v>0</v>
      </c>
      <c r="Q52" s="93">
        <f t="shared" si="19"/>
        <v>0</v>
      </c>
    </row>
    <row r="53" ht="15.75" hidden="1" customHeight="1" outlineLevel="1">
      <c r="A53" s="11"/>
      <c r="B53" s="11" t="s">
        <v>152</v>
      </c>
      <c r="C53" s="12">
        <f>36.48+12+58.02</f>
        <v>106.5</v>
      </c>
      <c r="D53" s="12">
        <v>2</v>
      </c>
      <c r="E53" s="90">
        <f t="shared" si="27"/>
        <v>0.018779342723004695</v>
      </c>
      <c r="F53" s="12"/>
      <c r="G53" s="12"/>
      <c r="H53" s="90"/>
      <c r="I53" s="12">
        <f t="shared" si="40"/>
        <v>106.5</v>
      </c>
      <c r="J53" s="12">
        <f t="shared" si="40"/>
        <v>2</v>
      </c>
      <c r="K53" s="90">
        <f t="shared" si="23"/>
        <v>0.018779342723004695</v>
      </c>
      <c r="L53" s="94">
        <v>9</v>
      </c>
      <c r="M53" s="95">
        <v>0</v>
      </c>
      <c r="N53" s="93">
        <f t="shared" si="28"/>
        <v>0</v>
      </c>
      <c r="O53" s="95">
        <v>0</v>
      </c>
      <c r="P53" s="95">
        <v>0</v>
      </c>
      <c r="Q53" s="93">
        <v>0</v>
      </c>
    </row>
    <row r="54" ht="15.75" hidden="1" customHeight="1" outlineLevel="1">
      <c r="A54" s="11"/>
      <c r="B54" s="11" t="s">
        <v>153</v>
      </c>
      <c r="C54" s="12">
        <v>104</v>
      </c>
      <c r="D54" s="12">
        <v>2.5</v>
      </c>
      <c r="E54" s="90">
        <f t="shared" si="27"/>
        <v>0.02403846153846154</v>
      </c>
      <c r="F54" s="12"/>
      <c r="G54" s="12"/>
      <c r="H54" s="90"/>
      <c r="I54" s="12">
        <f t="shared" si="40"/>
        <v>104</v>
      </c>
      <c r="J54" s="12">
        <f t="shared" si="40"/>
        <v>2.5</v>
      </c>
      <c r="K54" s="90">
        <f t="shared" si="23"/>
        <v>0.02403846153846154</v>
      </c>
      <c r="L54" s="94">
        <v>4.7300000000000004</v>
      </c>
      <c r="M54" s="95">
        <v>1</v>
      </c>
      <c r="N54" s="93">
        <f t="shared" si="28"/>
        <v>0.21141649048625791</v>
      </c>
      <c r="O54" s="95">
        <v>0.69999999999999996</v>
      </c>
      <c r="P54" s="95">
        <v>0</v>
      </c>
      <c r="Q54" s="93">
        <f t="shared" si="19"/>
        <v>0</v>
      </c>
    </row>
    <row r="55" ht="15.75" hidden="1" customHeight="1" outlineLevel="1">
      <c r="A55" s="11"/>
      <c r="B55" s="11" t="s">
        <v>154</v>
      </c>
      <c r="C55" s="12">
        <v>117.29000000000001</v>
      </c>
      <c r="D55" s="12">
        <v>4</v>
      </c>
      <c r="E55" s="90">
        <f t="shared" si="27"/>
        <v>0.034103504135049874</v>
      </c>
      <c r="F55" s="12"/>
      <c r="G55" s="12"/>
      <c r="H55" s="90"/>
      <c r="I55" s="12">
        <f t="shared" si="40"/>
        <v>117.29000000000001</v>
      </c>
      <c r="J55" s="12">
        <f t="shared" si="40"/>
        <v>4</v>
      </c>
      <c r="K55" s="90">
        <f t="shared" si="23"/>
        <v>0.034103504135049874</v>
      </c>
      <c r="L55" s="94">
        <v>5</v>
      </c>
      <c r="M55" s="95">
        <v>0</v>
      </c>
      <c r="N55" s="93">
        <f t="shared" si="28"/>
        <v>0</v>
      </c>
      <c r="O55" s="95">
        <v>1</v>
      </c>
      <c r="P55" s="95">
        <v>0</v>
      </c>
      <c r="Q55" s="93">
        <f t="shared" si="19"/>
        <v>0</v>
      </c>
    </row>
    <row r="56" ht="15.75" hidden="1" customHeight="1" outlineLevel="1">
      <c r="A56" s="11"/>
      <c r="B56" s="11" t="s">
        <v>155</v>
      </c>
      <c r="C56" s="12">
        <f>19.44+2.77+8.66+2+3+41.53</f>
        <v>77.400000000000006</v>
      </c>
      <c r="D56" s="12">
        <v>4</v>
      </c>
      <c r="E56" s="90">
        <f t="shared" si="27"/>
        <v>0.051679586563307491</v>
      </c>
      <c r="F56" s="12"/>
      <c r="G56" s="12"/>
      <c r="H56" s="90"/>
      <c r="I56" s="12">
        <f t="shared" si="40"/>
        <v>77.400000000000006</v>
      </c>
      <c r="J56" s="12">
        <f t="shared" si="40"/>
        <v>4</v>
      </c>
      <c r="K56" s="90">
        <f t="shared" si="23"/>
        <v>0.051679586563307491</v>
      </c>
      <c r="L56" s="94">
        <v>1.3999999999999999</v>
      </c>
      <c r="M56" s="95">
        <v>0</v>
      </c>
      <c r="N56" s="93">
        <f t="shared" si="28"/>
        <v>0</v>
      </c>
      <c r="O56" s="95">
        <v>0</v>
      </c>
      <c r="P56" s="95">
        <v>0</v>
      </c>
      <c r="Q56" s="93">
        <v>0</v>
      </c>
    </row>
    <row r="57" ht="15.75" hidden="1" customHeight="1" outlineLevel="1">
      <c r="A57" s="11"/>
      <c r="B57" s="11" t="s">
        <v>156</v>
      </c>
      <c r="C57" s="12">
        <f>29.41+5.98+9.21+42.88</f>
        <v>87.480000000000004</v>
      </c>
      <c r="D57" s="12">
        <f>1.8+0.4+2.6</f>
        <v>4.8000000000000007</v>
      </c>
      <c r="E57" s="90">
        <f t="shared" si="27"/>
        <v>0.054869684499314134</v>
      </c>
      <c r="F57" s="96"/>
      <c r="G57" s="12"/>
      <c r="H57" s="90"/>
      <c r="I57" s="12">
        <f t="shared" si="40"/>
        <v>87.480000000000004</v>
      </c>
      <c r="J57" s="12">
        <f t="shared" si="40"/>
        <v>4.8000000000000007</v>
      </c>
      <c r="K57" s="90">
        <f t="shared" si="23"/>
        <v>0.054869684499314134</v>
      </c>
      <c r="L57" s="94">
        <v>6.4699999999999998</v>
      </c>
      <c r="M57" s="95">
        <v>1</v>
      </c>
      <c r="N57" s="93">
        <f t="shared" si="28"/>
        <v>0.15455950540958269</v>
      </c>
      <c r="O57" s="95">
        <v>0</v>
      </c>
      <c r="P57" s="95">
        <v>0</v>
      </c>
      <c r="Q57" s="93">
        <v>0</v>
      </c>
    </row>
    <row r="58" ht="15.75" customHeight="1" collapsed="1">
      <c r="A58" s="97" t="s">
        <v>162</v>
      </c>
      <c r="B58" s="97" t="s">
        <v>148</v>
      </c>
      <c r="C58" s="98">
        <f t="shared" ref="C58:D58" si="41">SUM(C59:C66)</f>
        <v>785.48166666666668</v>
      </c>
      <c r="D58" s="99">
        <f t="shared" si="41"/>
        <v>213.01500000000001</v>
      </c>
      <c r="E58" s="100">
        <f t="shared" si="27"/>
        <v>0.2711902887612484</v>
      </c>
      <c r="F58" s="89" t="e">
        <f t="shared" si="21"/>
        <v>#NUM!</v>
      </c>
      <c r="G58" s="89">
        <f t="shared" si="21"/>
        <v>13.600000000000001</v>
      </c>
      <c r="H58" s="90" t="e">
        <f t="shared" ref="H58:H94" si="42">G58/F58*100%</f>
        <v>#NUM!</v>
      </c>
      <c r="I58" s="99" t="e">
        <f t="shared" ref="I58:J58" si="43">SUM(I59:I66)</f>
        <v>#NUM!</v>
      </c>
      <c r="J58" s="99">
        <f t="shared" si="43"/>
        <v>199.41500000000002</v>
      </c>
      <c r="K58" s="100" t="e">
        <f t="shared" si="23"/>
        <v>#NUM!</v>
      </c>
      <c r="L58" s="101">
        <f t="shared" si="24"/>
        <v>43.151666666666671</v>
      </c>
      <c r="M58" s="102">
        <f t="shared" si="24"/>
        <v>21.5</v>
      </c>
      <c r="N58" s="103">
        <f t="shared" si="28"/>
        <v>0.49824263257502605</v>
      </c>
      <c r="O58" s="104">
        <f t="shared" si="25"/>
        <v>5.2000000000000002</v>
      </c>
      <c r="P58" s="102">
        <f t="shared" si="25"/>
        <v>5.5</v>
      </c>
      <c r="Q58" s="103">
        <f t="shared" si="19"/>
        <v>1.0576923076923077</v>
      </c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</row>
    <row r="59" ht="15.75" hidden="1" customHeight="1" outlineLevel="1">
      <c r="A59" s="97"/>
      <c r="B59" s="106" t="s">
        <v>149</v>
      </c>
      <c r="C59" s="107">
        <f>AVERAGE(C5,C23,C14,C32,C41,C50)</f>
        <v>133.33333333333334</v>
      </c>
      <c r="D59" s="108">
        <f>D50+D41+D32+D23+D14+D5</f>
        <v>50</v>
      </c>
      <c r="E59" s="100">
        <f t="shared" si="27"/>
        <v>0.375</v>
      </c>
      <c r="F59" s="107" t="e">
        <f>AVERAGE(F5,F23,F14,F32,F41,F50)</f>
        <v>#NUM!</v>
      </c>
      <c r="G59" s="108">
        <f>G50+G41+G32+G23+G14+G5</f>
        <v>0</v>
      </c>
      <c r="H59" s="100" t="e">
        <f t="shared" si="42"/>
        <v>#NUM!</v>
      </c>
      <c r="I59" s="108" t="e">
        <f t="shared" ref="I59:J66" si="44">C59-F59</f>
        <v>#NUM!</v>
      </c>
      <c r="J59" s="108">
        <f t="shared" si="44"/>
        <v>50</v>
      </c>
      <c r="K59" s="100" t="e">
        <f t="shared" si="23"/>
        <v>#NUM!</v>
      </c>
      <c r="L59" s="109">
        <f t="shared" ref="L59:L66" si="45">AVERAGE(L5,L23,L14,L32,L41,L50)</f>
        <v>6</v>
      </c>
      <c r="M59" s="110">
        <f t="shared" ref="M59:M66" si="46">M50+M41+M32+M23+M14+M5</f>
        <v>5</v>
      </c>
      <c r="N59" s="103">
        <f t="shared" si="28"/>
        <v>0.83333333333333337</v>
      </c>
      <c r="O59" s="111">
        <f t="shared" ref="O59:O66" si="47">AVERAGE(O5,O23,O14,O32,O41,O50)</f>
        <v>0</v>
      </c>
      <c r="P59" s="110">
        <f t="shared" ref="P59:P66" si="48">P50+P41+P32+P23+P14+P5</f>
        <v>0</v>
      </c>
      <c r="Q59" s="103">
        <v>0</v>
      </c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</row>
    <row r="60" ht="15.75" hidden="1" customHeight="1" outlineLevel="1">
      <c r="A60" s="97"/>
      <c r="B60" s="106" t="s">
        <v>150</v>
      </c>
      <c r="C60" s="107"/>
      <c r="D60" s="108"/>
      <c r="E60" s="100"/>
      <c r="F60" s="107"/>
      <c r="G60" s="108"/>
      <c r="H60" s="100"/>
      <c r="I60" s="108"/>
      <c r="J60" s="108"/>
      <c r="K60" s="100"/>
      <c r="L60" s="109">
        <f t="shared" si="45"/>
        <v>0</v>
      </c>
      <c r="M60" s="110">
        <f t="shared" si="46"/>
        <v>0</v>
      </c>
      <c r="N60" s="103">
        <v>0</v>
      </c>
      <c r="O60" s="111">
        <f t="shared" si="47"/>
        <v>0</v>
      </c>
      <c r="P60" s="110">
        <f t="shared" si="48"/>
        <v>0</v>
      </c>
      <c r="Q60" s="103">
        <v>0</v>
      </c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</row>
    <row r="61" ht="15.75" hidden="1" customHeight="1" outlineLevel="1">
      <c r="A61" s="97"/>
      <c r="B61" s="106" t="s">
        <v>151</v>
      </c>
      <c r="C61" s="107">
        <f>AVERAGE(C142,C25,C16,C34,C43,C52)</f>
        <v>142.95000000000002</v>
      </c>
      <c r="D61" s="108">
        <f>D52+D43+D34+D25+D16+D142</f>
        <v>24.274999999999999</v>
      </c>
      <c r="E61" s="100">
        <f t="shared" si="27"/>
        <v>0.16981462049667714</v>
      </c>
      <c r="F61" s="107">
        <f>AVERAGE(F142,F25,F16,F34,F43,F52)</f>
        <v>72.838333333333324</v>
      </c>
      <c r="G61" s="108">
        <f>G52+G43+G34+G25+G16+G142</f>
        <v>13.600000000000001</v>
      </c>
      <c r="H61" s="100">
        <f t="shared" si="42"/>
        <v>0.186714870832666</v>
      </c>
      <c r="I61" s="107">
        <f t="shared" si="44"/>
        <v>70.111666666666693</v>
      </c>
      <c r="J61" s="108">
        <f t="shared" si="44"/>
        <v>10.674999999999997</v>
      </c>
      <c r="K61" s="100">
        <f t="shared" si="23"/>
        <v>0.15225711365203118</v>
      </c>
      <c r="L61" s="109">
        <f t="shared" si="45"/>
        <v>7.913333333333334</v>
      </c>
      <c r="M61" s="110">
        <f t="shared" si="46"/>
        <v>0.5</v>
      </c>
      <c r="N61" s="103">
        <f t="shared" si="28"/>
        <v>0.063184498736310019</v>
      </c>
      <c r="O61" s="111">
        <f t="shared" si="47"/>
        <v>3.3333333333333335</v>
      </c>
      <c r="P61" s="110">
        <f t="shared" si="48"/>
        <v>3</v>
      </c>
      <c r="Q61" s="103">
        <f t="shared" si="19"/>
        <v>0.89999999999999991</v>
      </c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</row>
    <row r="62" ht="15.75" hidden="1" customHeight="1" outlineLevel="1">
      <c r="A62" s="97"/>
      <c r="B62" s="106" t="s">
        <v>152</v>
      </c>
      <c r="C62" s="107">
        <f t="shared" ref="C62:C65" si="49">AVERAGE(C8,C26,C17,C35,C44,C53)</f>
        <v>108.375</v>
      </c>
      <c r="D62" s="108">
        <f t="shared" ref="D62:D66" si="50">D53+D44+D35+D26+D17+D8</f>
        <v>24.16</v>
      </c>
      <c r="E62" s="100">
        <f t="shared" si="27"/>
        <v>0.22292964244521338</v>
      </c>
      <c r="F62" s="107" t="e">
        <f t="shared" ref="F62:F65" si="51">AVERAGE(F8,F26,F17,F35,F44,F53)</f>
        <v>#NUM!</v>
      </c>
      <c r="G62" s="108">
        <f t="shared" ref="G62:G66" si="52">G53+G44+G35+G26+G17+G8</f>
        <v>0</v>
      </c>
      <c r="H62" s="100" t="e">
        <f t="shared" si="42"/>
        <v>#NUM!</v>
      </c>
      <c r="I62" s="108" t="e">
        <f t="shared" si="44"/>
        <v>#NUM!</v>
      </c>
      <c r="J62" s="108">
        <f t="shared" si="44"/>
        <v>24.16</v>
      </c>
      <c r="K62" s="100" t="e">
        <f t="shared" si="23"/>
        <v>#NUM!</v>
      </c>
      <c r="L62" s="109">
        <f t="shared" si="45"/>
        <v>8.3483333333333345</v>
      </c>
      <c r="M62" s="110">
        <f t="shared" si="46"/>
        <v>5</v>
      </c>
      <c r="N62" s="103">
        <f t="shared" si="28"/>
        <v>0.59892194050708714</v>
      </c>
      <c r="O62" s="111">
        <f t="shared" si="47"/>
        <v>0</v>
      </c>
      <c r="P62" s="110">
        <f t="shared" si="48"/>
        <v>0</v>
      </c>
      <c r="Q62" s="103">
        <v>0</v>
      </c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</row>
    <row r="63" ht="15.75" hidden="1" customHeight="1" outlineLevel="1">
      <c r="A63" s="97"/>
      <c r="B63" s="106" t="s">
        <v>153</v>
      </c>
      <c r="C63" s="107">
        <f t="shared" si="49"/>
        <v>112.83333333333333</v>
      </c>
      <c r="D63" s="108">
        <f t="shared" si="50"/>
        <v>42.880000000000003</v>
      </c>
      <c r="E63" s="100">
        <f t="shared" si="27"/>
        <v>0.38002954209748896</v>
      </c>
      <c r="F63" s="107" t="e">
        <f t="shared" si="51"/>
        <v>#NUM!</v>
      </c>
      <c r="G63" s="108">
        <f t="shared" si="52"/>
        <v>0</v>
      </c>
      <c r="H63" s="100" t="e">
        <f t="shared" si="42"/>
        <v>#NUM!</v>
      </c>
      <c r="I63" s="108" t="e">
        <f t="shared" si="44"/>
        <v>#NUM!</v>
      </c>
      <c r="J63" s="108">
        <f t="shared" si="44"/>
        <v>42.880000000000003</v>
      </c>
      <c r="K63" s="100" t="e">
        <f t="shared" si="23"/>
        <v>#NUM!</v>
      </c>
      <c r="L63" s="109">
        <f t="shared" si="45"/>
        <v>6.2000000000000002</v>
      </c>
      <c r="M63" s="110">
        <f t="shared" si="46"/>
        <v>5</v>
      </c>
      <c r="N63" s="103">
        <f t="shared" si="28"/>
        <v>0.80645161290322576</v>
      </c>
      <c r="O63" s="111">
        <f t="shared" si="47"/>
        <v>0.11666666666666665</v>
      </c>
      <c r="P63" s="110">
        <f t="shared" si="48"/>
        <v>0</v>
      </c>
      <c r="Q63" s="103">
        <v>0</v>
      </c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</row>
    <row r="64" ht="15.75" hidden="1" customHeight="1" outlineLevel="1">
      <c r="A64" s="97"/>
      <c r="B64" s="106" t="s">
        <v>154</v>
      </c>
      <c r="C64" s="107">
        <f t="shared" si="49"/>
        <v>120.21499999999999</v>
      </c>
      <c r="D64" s="108">
        <f t="shared" si="50"/>
        <v>24</v>
      </c>
      <c r="E64" s="100">
        <f t="shared" si="27"/>
        <v>0.19964230753233791</v>
      </c>
      <c r="F64" s="107" t="e">
        <f t="shared" si="51"/>
        <v>#NUM!</v>
      </c>
      <c r="G64" s="108">
        <f t="shared" si="52"/>
        <v>0</v>
      </c>
      <c r="H64" s="100" t="e">
        <f t="shared" si="42"/>
        <v>#NUM!</v>
      </c>
      <c r="I64" s="108" t="e">
        <f t="shared" si="44"/>
        <v>#NUM!</v>
      </c>
      <c r="J64" s="108">
        <f t="shared" si="44"/>
        <v>24</v>
      </c>
      <c r="K64" s="100" t="e">
        <f t="shared" si="23"/>
        <v>#NUM!</v>
      </c>
      <c r="L64" s="109">
        <f t="shared" si="45"/>
        <v>6.4783333333333326</v>
      </c>
      <c r="M64" s="110">
        <f t="shared" si="46"/>
        <v>3</v>
      </c>
      <c r="N64" s="103">
        <f t="shared" si="28"/>
        <v>0.46308206843323907</v>
      </c>
      <c r="O64" s="111">
        <f t="shared" si="47"/>
        <v>1</v>
      </c>
      <c r="P64" s="110">
        <f t="shared" si="48"/>
        <v>0</v>
      </c>
      <c r="Q64" s="103">
        <f t="shared" si="19"/>
        <v>0</v>
      </c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</row>
    <row r="65" ht="15.75" hidden="1" customHeight="1" outlineLevel="1">
      <c r="A65" s="97"/>
      <c r="B65" s="106" t="s">
        <v>155</v>
      </c>
      <c r="C65" s="107">
        <f t="shared" si="49"/>
        <v>77.876666666666665</v>
      </c>
      <c r="D65" s="108">
        <f t="shared" si="50"/>
        <v>19.899999999999999</v>
      </c>
      <c r="E65" s="100">
        <f t="shared" si="27"/>
        <v>0.25553225185121775</v>
      </c>
      <c r="F65" s="107" t="e">
        <f t="shared" si="51"/>
        <v>#NUM!</v>
      </c>
      <c r="G65" s="108">
        <f t="shared" si="52"/>
        <v>0</v>
      </c>
      <c r="H65" s="100" t="e">
        <f t="shared" si="42"/>
        <v>#NUM!</v>
      </c>
      <c r="I65" s="108" t="e">
        <f t="shared" si="44"/>
        <v>#NUM!</v>
      </c>
      <c r="J65" s="108">
        <f t="shared" si="44"/>
        <v>19.899999999999999</v>
      </c>
      <c r="K65" s="100" t="e">
        <f t="shared" si="23"/>
        <v>#NUM!</v>
      </c>
      <c r="L65" s="109">
        <f t="shared" si="45"/>
        <v>1.3583333333333334</v>
      </c>
      <c r="M65" s="110">
        <f t="shared" si="46"/>
        <v>1</v>
      </c>
      <c r="N65" s="103">
        <f t="shared" si="28"/>
        <v>0.73619631901840488</v>
      </c>
      <c r="O65" s="111">
        <f t="shared" si="47"/>
        <v>0</v>
      </c>
      <c r="P65" s="110">
        <f t="shared" si="48"/>
        <v>0</v>
      </c>
      <c r="Q65" s="103">
        <v>0</v>
      </c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</row>
    <row r="66" ht="15.75" hidden="1" customHeight="1" outlineLevel="1">
      <c r="A66" s="97"/>
      <c r="B66" s="106" t="s">
        <v>156</v>
      </c>
      <c r="C66" s="107">
        <f>AVERAGE(C11,C30,C21,C39,C48,C57)</f>
        <v>89.898333333333326</v>
      </c>
      <c r="D66" s="108">
        <f t="shared" si="50"/>
        <v>27.800000000000001</v>
      </c>
      <c r="E66" s="100">
        <f t="shared" si="27"/>
        <v>0.30923821353751463</v>
      </c>
      <c r="F66" s="107" t="e">
        <f>AVERAGE(F11,F30,F21,F39,F48,F57)</f>
        <v>#NUM!</v>
      </c>
      <c r="G66" s="108">
        <f t="shared" si="52"/>
        <v>0</v>
      </c>
      <c r="H66" s="100" t="e">
        <f t="shared" si="42"/>
        <v>#NUM!</v>
      </c>
      <c r="I66" s="108" t="e">
        <f t="shared" si="44"/>
        <v>#NUM!</v>
      </c>
      <c r="J66" s="108">
        <f t="shared" si="44"/>
        <v>27.800000000000001</v>
      </c>
      <c r="K66" s="100" t="e">
        <f t="shared" si="23"/>
        <v>#NUM!</v>
      </c>
      <c r="L66" s="109">
        <f t="shared" si="45"/>
        <v>6.8533333333333326</v>
      </c>
      <c r="M66" s="110">
        <f t="shared" si="46"/>
        <v>2</v>
      </c>
      <c r="N66" s="103">
        <f t="shared" si="28"/>
        <v>0.29182879377431908</v>
      </c>
      <c r="O66" s="111">
        <f t="shared" si="47"/>
        <v>0.75</v>
      </c>
      <c r="P66" s="110">
        <f t="shared" si="48"/>
        <v>2.5</v>
      </c>
      <c r="Q66" s="103">
        <f t="shared" si="19"/>
        <v>3.3333333333333335</v>
      </c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</row>
    <row r="67" ht="15.75" customHeight="1" collapsed="1">
      <c r="A67" s="88" t="s">
        <v>163</v>
      </c>
      <c r="B67" s="88" t="s">
        <v>148</v>
      </c>
      <c r="C67" s="89">
        <f t="shared" ref="C67:D67" si="53">SUM(C68:C75)</f>
        <v>740.00999999999999</v>
      </c>
      <c r="D67" s="89">
        <f t="shared" si="53"/>
        <v>28.5</v>
      </c>
      <c r="E67" s="90">
        <f t="shared" si="27"/>
        <v>0.038512993067661247</v>
      </c>
      <c r="F67" s="89">
        <f t="shared" ref="F67:G85" si="54">SUM(F68:F75)</f>
        <v>68.689999999999998</v>
      </c>
      <c r="G67" s="89">
        <f t="shared" si="54"/>
        <v>0</v>
      </c>
      <c r="H67" s="90">
        <f t="shared" si="42"/>
        <v>0</v>
      </c>
      <c r="I67" s="89">
        <f t="shared" ref="I67:J67" si="55">SUM(I68:I75)</f>
        <v>671.31999999999994</v>
      </c>
      <c r="J67" s="89">
        <f t="shared" si="55"/>
        <v>28.5</v>
      </c>
      <c r="K67" s="90">
        <f t="shared" si="23"/>
        <v>0.042453673359947569</v>
      </c>
      <c r="L67" s="91">
        <f t="shared" ref="L67:M85" si="56">SUM(L68:L75)</f>
        <v>37.82</v>
      </c>
      <c r="M67" s="92">
        <f t="shared" si="56"/>
        <v>4</v>
      </c>
      <c r="N67" s="93">
        <f t="shared" si="28"/>
        <v>0.10576414595452141</v>
      </c>
      <c r="O67" s="92">
        <f t="shared" ref="O67:P85" si="57">SUM(O68:O75)</f>
        <v>4</v>
      </c>
      <c r="P67" s="92">
        <f t="shared" si="57"/>
        <v>1</v>
      </c>
      <c r="Q67" s="93">
        <f t="shared" si="19"/>
        <v>0.25</v>
      </c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</row>
    <row r="68" ht="15.75" hidden="1" customHeight="1" outlineLevel="1">
      <c r="A68" s="11"/>
      <c r="B68" s="11" t="s">
        <v>149</v>
      </c>
      <c r="C68" s="12">
        <v>118</v>
      </c>
      <c r="D68" s="12">
        <v>12</v>
      </c>
      <c r="E68" s="90">
        <f t="shared" si="27"/>
        <v>0.10169491525423729</v>
      </c>
      <c r="F68" s="12"/>
      <c r="G68" s="12"/>
      <c r="H68" s="90"/>
      <c r="I68" s="12">
        <f t="shared" ref="I68:J75" si="58">C68-F68</f>
        <v>118</v>
      </c>
      <c r="J68" s="12">
        <f t="shared" si="58"/>
        <v>12</v>
      </c>
      <c r="K68" s="90">
        <f t="shared" si="23"/>
        <v>0.10169491525423729</v>
      </c>
      <c r="L68" s="94">
        <v>4</v>
      </c>
      <c r="M68" s="95">
        <v>1</v>
      </c>
      <c r="N68" s="93">
        <f t="shared" si="28"/>
        <v>0.25</v>
      </c>
      <c r="O68" s="95">
        <v>0</v>
      </c>
      <c r="P68" s="95">
        <v>0</v>
      </c>
      <c r="Q68" s="93">
        <v>0</v>
      </c>
    </row>
    <row r="69" ht="15.75" hidden="1" customHeight="1" outlineLevel="1">
      <c r="A69" s="11"/>
      <c r="B69" s="11" t="s">
        <v>150</v>
      </c>
      <c r="C69" s="12"/>
      <c r="D69" s="12"/>
      <c r="E69" s="90" t="e">
        <f t="shared" si="27"/>
        <v>#DIV/0!</v>
      </c>
      <c r="F69" s="12"/>
      <c r="G69" s="12"/>
      <c r="H69" s="90"/>
      <c r="I69" s="12">
        <f t="shared" si="58"/>
        <v>0</v>
      </c>
      <c r="J69" s="12">
        <f t="shared" si="58"/>
        <v>0</v>
      </c>
      <c r="K69" s="90" t="e">
        <f t="shared" si="23"/>
        <v>#DIV/0!</v>
      </c>
      <c r="L69" s="94">
        <v>0</v>
      </c>
      <c r="M69" s="95">
        <v>0</v>
      </c>
      <c r="N69" s="93">
        <v>0</v>
      </c>
      <c r="O69" s="95">
        <v>0</v>
      </c>
      <c r="P69" s="95">
        <v>0</v>
      </c>
      <c r="Q69" s="93">
        <v>0</v>
      </c>
    </row>
    <row r="70" ht="15.75" hidden="1" customHeight="1" outlineLevel="1">
      <c r="A70" s="11"/>
      <c r="B70" s="11" t="s">
        <v>151</v>
      </c>
      <c r="C70" s="12">
        <f>223.01-86.15</f>
        <v>136.85999999999999</v>
      </c>
      <c r="D70" s="12">
        <f>3-0</f>
        <v>3</v>
      </c>
      <c r="E70" s="90">
        <f t="shared" si="27"/>
        <v>0.021920210434020169</v>
      </c>
      <c r="F70" s="12">
        <v>68.689999999999998</v>
      </c>
      <c r="G70" s="12">
        <v>0</v>
      </c>
      <c r="H70" s="90"/>
      <c r="I70" s="12">
        <f t="shared" si="58"/>
        <v>68.169999999999987</v>
      </c>
      <c r="J70" s="12">
        <f t="shared" si="58"/>
        <v>3</v>
      </c>
      <c r="K70" s="90">
        <f t="shared" si="23"/>
        <v>0.044007627988851411</v>
      </c>
      <c r="L70" s="94">
        <v>7.0300000000000002</v>
      </c>
      <c r="M70" s="95">
        <v>3</v>
      </c>
      <c r="N70" s="93">
        <f t="shared" si="28"/>
        <v>0.4267425320056899</v>
      </c>
      <c r="O70" s="95">
        <v>2</v>
      </c>
      <c r="P70" s="95">
        <v>0</v>
      </c>
      <c r="Q70" s="93">
        <f t="shared" si="19"/>
        <v>0</v>
      </c>
    </row>
    <row r="71" ht="15.75" hidden="1" customHeight="1" outlineLevel="1">
      <c r="A71" s="11"/>
      <c r="B71" s="11" t="s">
        <v>152</v>
      </c>
      <c r="C71" s="12">
        <f>36.31+12+57.86</f>
        <v>106.17</v>
      </c>
      <c r="D71" s="12">
        <v>2</v>
      </c>
      <c r="E71" s="90">
        <f t="shared" si="27"/>
        <v>0.018837713101629461</v>
      </c>
      <c r="F71" s="12"/>
      <c r="G71" s="12"/>
      <c r="H71" s="90"/>
      <c r="I71" s="12">
        <f t="shared" si="58"/>
        <v>106.17</v>
      </c>
      <c r="J71" s="12">
        <f t="shared" si="58"/>
        <v>2</v>
      </c>
      <c r="K71" s="90">
        <f t="shared" si="23"/>
        <v>0.018837713101629461</v>
      </c>
      <c r="L71" s="94">
        <v>9</v>
      </c>
      <c r="M71" s="95">
        <v>0</v>
      </c>
      <c r="N71" s="93">
        <f t="shared" si="28"/>
        <v>0</v>
      </c>
      <c r="O71" s="95">
        <v>0</v>
      </c>
      <c r="P71" s="95">
        <v>0</v>
      </c>
      <c r="Q71" s="93">
        <v>0</v>
      </c>
    </row>
    <row r="72" ht="15.75" hidden="1" customHeight="1" outlineLevel="1">
      <c r="A72" s="11"/>
      <c r="B72" s="11" t="s">
        <v>153</v>
      </c>
      <c r="C72" s="12">
        <v>104.2</v>
      </c>
      <c r="D72" s="12">
        <v>2</v>
      </c>
      <c r="E72" s="90">
        <f t="shared" si="27"/>
        <v>0.019193857965451054</v>
      </c>
      <c r="F72" s="12"/>
      <c r="G72" s="12"/>
      <c r="H72" s="90"/>
      <c r="I72" s="12">
        <f t="shared" si="58"/>
        <v>104.2</v>
      </c>
      <c r="J72" s="12">
        <f t="shared" si="58"/>
        <v>2</v>
      </c>
      <c r="K72" s="90">
        <f t="shared" si="23"/>
        <v>0.019193857965451054</v>
      </c>
      <c r="L72" s="94">
        <v>5</v>
      </c>
      <c r="M72" s="95">
        <v>0</v>
      </c>
      <c r="N72" s="93">
        <f t="shared" si="28"/>
        <v>0</v>
      </c>
      <c r="O72" s="95">
        <v>1</v>
      </c>
      <c r="P72" s="95">
        <v>0</v>
      </c>
      <c r="Q72" s="93">
        <f t="shared" si="19"/>
        <v>0</v>
      </c>
    </row>
    <row r="73" ht="15.75" hidden="1" customHeight="1" outlineLevel="1">
      <c r="A73" s="11"/>
      <c r="B73" s="11" t="s">
        <v>154</v>
      </c>
      <c r="C73" s="12">
        <v>114</v>
      </c>
      <c r="D73" s="12">
        <v>3</v>
      </c>
      <c r="E73" s="90">
        <f t="shared" si="27"/>
        <v>0.026315789473684209</v>
      </c>
      <c r="F73" s="12"/>
      <c r="G73" s="12"/>
      <c r="H73" s="90"/>
      <c r="I73" s="12">
        <f t="shared" si="58"/>
        <v>114</v>
      </c>
      <c r="J73" s="12">
        <f t="shared" si="58"/>
        <v>3</v>
      </c>
      <c r="K73" s="90">
        <f t="shared" si="23"/>
        <v>0.026315789473684209</v>
      </c>
      <c r="L73" s="94">
        <v>5.3899999999999997</v>
      </c>
      <c r="M73" s="95">
        <v>0</v>
      </c>
      <c r="N73" s="93">
        <f t="shared" si="28"/>
        <v>0</v>
      </c>
      <c r="O73" s="95">
        <v>1</v>
      </c>
      <c r="P73" s="95">
        <v>1</v>
      </c>
      <c r="Q73" s="93">
        <f t="shared" si="19"/>
        <v>1</v>
      </c>
    </row>
    <row r="74" ht="15.75" hidden="1" customHeight="1" outlineLevel="1">
      <c r="A74" s="11"/>
      <c r="B74" s="11" t="s">
        <v>155</v>
      </c>
      <c r="C74" s="12">
        <f>19.67+2.67+5.18+3.17+0.92+3+30.72+10.63</f>
        <v>75.960000000000008</v>
      </c>
      <c r="D74" s="12">
        <v>4</v>
      </c>
      <c r="E74" s="90">
        <f t="shared" si="27"/>
        <v>0.052659294365455495</v>
      </c>
      <c r="F74" s="12"/>
      <c r="G74" s="12"/>
      <c r="H74" s="90"/>
      <c r="I74" s="12">
        <f t="shared" si="58"/>
        <v>75.960000000000008</v>
      </c>
      <c r="J74" s="12">
        <f t="shared" si="58"/>
        <v>4</v>
      </c>
      <c r="K74" s="90">
        <f t="shared" si="23"/>
        <v>0.052659294365455495</v>
      </c>
      <c r="L74" s="94">
        <v>1.3999999999999999</v>
      </c>
      <c r="M74" s="95">
        <v>0</v>
      </c>
      <c r="N74" s="93">
        <f t="shared" si="28"/>
        <v>0</v>
      </c>
      <c r="O74" s="95">
        <v>0</v>
      </c>
      <c r="P74" s="95">
        <v>0</v>
      </c>
      <c r="Q74" s="93">
        <v>0</v>
      </c>
    </row>
    <row r="75" ht="15.75" hidden="1" customHeight="1" outlineLevel="1">
      <c r="A75" s="11"/>
      <c r="B75" s="11" t="s">
        <v>156</v>
      </c>
      <c r="C75" s="12">
        <f>28.61+5.95+8.85+41.41</f>
        <v>84.819999999999993</v>
      </c>
      <c r="D75" s="12">
        <v>2.5</v>
      </c>
      <c r="E75" s="90">
        <f t="shared" si="27"/>
        <v>0.029474180617778827</v>
      </c>
      <c r="F75" s="96"/>
      <c r="G75" s="12"/>
      <c r="H75" s="90"/>
      <c r="I75" s="12">
        <f t="shared" si="58"/>
        <v>84.819999999999993</v>
      </c>
      <c r="J75" s="12">
        <f t="shared" si="58"/>
        <v>2.5</v>
      </c>
      <c r="K75" s="90">
        <f t="shared" si="23"/>
        <v>0.029474180617778827</v>
      </c>
      <c r="L75" s="94">
        <v>6</v>
      </c>
      <c r="M75" s="95">
        <v>0</v>
      </c>
      <c r="N75" s="93">
        <f t="shared" si="28"/>
        <v>0</v>
      </c>
      <c r="O75" s="95">
        <v>0</v>
      </c>
      <c r="P75" s="95">
        <v>0</v>
      </c>
      <c r="Q75" s="93">
        <v>0</v>
      </c>
    </row>
    <row r="76" ht="15.75" customHeight="1" collapsed="1">
      <c r="A76" s="88" t="s">
        <v>164</v>
      </c>
      <c r="B76" s="88" t="s">
        <v>148</v>
      </c>
      <c r="C76" s="89">
        <f t="shared" ref="C76:D76" si="59">SUM(C77:C84)</f>
        <v>732.75999999999999</v>
      </c>
      <c r="D76" s="89">
        <f t="shared" si="59"/>
        <v>28.315000000000001</v>
      </c>
      <c r="E76" s="90">
        <f t="shared" si="27"/>
        <v>0.038641574321742457</v>
      </c>
      <c r="F76" s="89">
        <f t="shared" si="54"/>
        <v>68.099999999999994</v>
      </c>
      <c r="G76" s="89">
        <f t="shared" si="54"/>
        <v>1.125</v>
      </c>
      <c r="H76" s="90">
        <f t="shared" si="42"/>
        <v>0.016519823788546256</v>
      </c>
      <c r="I76" s="89">
        <f t="shared" ref="I76:J76" si="60">SUM(I77:I84)</f>
        <v>664.65999999999997</v>
      </c>
      <c r="J76" s="89">
        <f t="shared" si="60"/>
        <v>27.190000000000001</v>
      </c>
      <c r="K76" s="90">
        <f t="shared" si="23"/>
        <v>0.040908133481780164</v>
      </c>
      <c r="L76" s="91">
        <f t="shared" si="56"/>
        <v>37.170000000000002</v>
      </c>
      <c r="M76" s="92">
        <f t="shared" si="56"/>
        <v>1</v>
      </c>
      <c r="N76" s="93">
        <f t="shared" si="28"/>
        <v>0.026903416733925208</v>
      </c>
      <c r="O76" s="92">
        <f t="shared" si="57"/>
        <v>3</v>
      </c>
      <c r="P76" s="92">
        <v>0</v>
      </c>
      <c r="Q76" s="93">
        <f t="shared" ref="Q76:Q97" si="61">P76/O76*100%</f>
        <v>0</v>
      </c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</row>
    <row r="77" ht="15.75" hidden="1" customHeight="1" outlineLevel="1">
      <c r="A77" s="11"/>
      <c r="B77" s="11" t="s">
        <v>149</v>
      </c>
      <c r="C77" s="12">
        <v>111</v>
      </c>
      <c r="D77" s="12">
        <v>7</v>
      </c>
      <c r="E77" s="90">
        <f t="shared" si="27"/>
        <v>0.063063063063063057</v>
      </c>
      <c r="F77" s="12"/>
      <c r="G77" s="12"/>
      <c r="H77" s="90"/>
      <c r="I77" s="12">
        <f t="shared" ref="I77:J84" si="62">C77-F77</f>
        <v>111</v>
      </c>
      <c r="J77" s="12">
        <f t="shared" si="62"/>
        <v>7</v>
      </c>
      <c r="K77" s="90">
        <f t="shared" ref="K77:K122" si="63">J77/I77*100%</f>
        <v>0.063063063063063057</v>
      </c>
      <c r="L77" s="94">
        <v>4</v>
      </c>
      <c r="M77" s="95">
        <v>0</v>
      </c>
      <c r="N77" s="93">
        <f t="shared" si="28"/>
        <v>0</v>
      </c>
      <c r="O77" s="95">
        <v>0</v>
      </c>
      <c r="P77" s="95">
        <v>0</v>
      </c>
      <c r="Q77" s="93">
        <v>0</v>
      </c>
    </row>
    <row r="78" ht="15.75" hidden="1" customHeight="1" outlineLevel="1">
      <c r="A78" s="11"/>
      <c r="B78" s="11" t="s">
        <v>150</v>
      </c>
      <c r="C78" s="12"/>
      <c r="D78" s="12"/>
      <c r="E78" s="90" t="e">
        <f t="shared" si="27"/>
        <v>#DIV/0!</v>
      </c>
      <c r="F78" s="12"/>
      <c r="G78" s="12"/>
      <c r="H78" s="90"/>
      <c r="I78" s="12">
        <f t="shared" si="62"/>
        <v>0</v>
      </c>
      <c r="J78" s="12">
        <f t="shared" si="62"/>
        <v>0</v>
      </c>
      <c r="K78" s="90" t="e">
        <f t="shared" si="63"/>
        <v>#DIV/0!</v>
      </c>
      <c r="L78" s="94">
        <v>0</v>
      </c>
      <c r="M78" s="95">
        <v>0</v>
      </c>
      <c r="N78" s="93">
        <v>0</v>
      </c>
      <c r="O78" s="95">
        <v>0</v>
      </c>
      <c r="P78" s="95">
        <v>0</v>
      </c>
      <c r="Q78" s="93">
        <v>0</v>
      </c>
    </row>
    <row r="79" ht="15.75" hidden="1" customHeight="1" outlineLevel="1">
      <c r="A79" s="11"/>
      <c r="B79" s="11" t="s">
        <v>151</v>
      </c>
      <c r="C79" s="12">
        <f>220.57-86.83</f>
        <v>133.74000000000001</v>
      </c>
      <c r="D79" s="12">
        <f>7.35-1.625</f>
        <v>5.7249999999999996</v>
      </c>
      <c r="E79" s="90">
        <f t="shared" si="27"/>
        <v>0.042806938836548521</v>
      </c>
      <c r="F79" s="12">
        <v>68.099999999999994</v>
      </c>
      <c r="G79" s="12">
        <v>1.125</v>
      </c>
      <c r="H79" s="90"/>
      <c r="I79" s="12">
        <f t="shared" si="62"/>
        <v>65.640000000000015</v>
      </c>
      <c r="J79" s="12">
        <f t="shared" si="62"/>
        <v>4.5999999999999996</v>
      </c>
      <c r="K79" s="90">
        <f t="shared" si="63"/>
        <v>0.070079219987812288</v>
      </c>
      <c r="L79" s="94">
        <v>5.7699999999999996</v>
      </c>
      <c r="M79" s="95">
        <v>1</v>
      </c>
      <c r="N79" s="93">
        <f t="shared" si="28"/>
        <v>0.1733102253032929</v>
      </c>
      <c r="O79" s="95">
        <v>2</v>
      </c>
      <c r="P79" s="95">
        <v>0</v>
      </c>
      <c r="Q79" s="93">
        <f t="shared" si="61"/>
        <v>0</v>
      </c>
    </row>
    <row r="80" ht="15.75" hidden="1" customHeight="1" outlineLevel="1">
      <c r="A80" s="11"/>
      <c r="B80" s="11" t="s">
        <v>152</v>
      </c>
      <c r="C80" s="12">
        <f>35.95+12+57.57</f>
        <v>105.52000000000001</v>
      </c>
      <c r="D80" s="12">
        <f>0.04+1</f>
        <v>1.04</v>
      </c>
      <c r="E80" s="90">
        <f t="shared" ref="E80:E122" si="64">D80/C80*100%</f>
        <v>0.0098559514783927212</v>
      </c>
      <c r="F80" s="12"/>
      <c r="G80" s="12"/>
      <c r="H80" s="90"/>
      <c r="I80" s="12">
        <f t="shared" si="62"/>
        <v>105.52000000000001</v>
      </c>
      <c r="J80" s="12">
        <f t="shared" si="62"/>
        <v>1.04</v>
      </c>
      <c r="K80" s="90">
        <f t="shared" si="63"/>
        <v>0.0098559514783927212</v>
      </c>
      <c r="L80" s="94">
        <v>9</v>
      </c>
      <c r="M80" s="95">
        <v>0</v>
      </c>
      <c r="N80" s="93">
        <f t="shared" ref="N80:N104" si="65">M80/L80*100%</f>
        <v>0</v>
      </c>
      <c r="O80" s="95">
        <v>0</v>
      </c>
      <c r="P80" s="95">
        <v>0</v>
      </c>
      <c r="Q80" s="93">
        <v>0</v>
      </c>
    </row>
    <row r="81" ht="15.75" hidden="1" customHeight="1" outlineLevel="1">
      <c r="A81" s="11"/>
      <c r="B81" s="11" t="s">
        <v>153</v>
      </c>
      <c r="C81" s="12">
        <v>103.72</v>
      </c>
      <c r="D81" s="12">
        <v>6.5</v>
      </c>
      <c r="E81" s="90">
        <f t="shared" si="64"/>
        <v>0.062668723486309294</v>
      </c>
      <c r="F81" s="12"/>
      <c r="G81" s="12"/>
      <c r="H81" s="90"/>
      <c r="I81" s="12">
        <f t="shared" si="62"/>
        <v>103.72</v>
      </c>
      <c r="J81" s="12">
        <f t="shared" si="62"/>
        <v>6.5</v>
      </c>
      <c r="K81" s="90">
        <f t="shared" si="63"/>
        <v>0.062668723486309294</v>
      </c>
      <c r="L81" s="94">
        <v>5</v>
      </c>
      <c r="M81" s="95">
        <v>0</v>
      </c>
      <c r="N81" s="93">
        <f t="shared" si="65"/>
        <v>0</v>
      </c>
      <c r="O81" s="95">
        <v>1</v>
      </c>
      <c r="P81" s="95">
        <v>0</v>
      </c>
      <c r="Q81" s="93">
        <f t="shared" si="61"/>
        <v>0</v>
      </c>
    </row>
    <row r="82" ht="15.75" hidden="1" customHeight="1" outlineLevel="1">
      <c r="A82" s="11"/>
      <c r="B82" s="11" t="s">
        <v>154</v>
      </c>
      <c r="C82" s="12">
        <v>116.12</v>
      </c>
      <c r="D82" s="12">
        <v>2</v>
      </c>
      <c r="E82" s="90">
        <f t="shared" si="64"/>
        <v>0.017223561832586977</v>
      </c>
      <c r="F82" s="12"/>
      <c r="G82" s="12"/>
      <c r="H82" s="90"/>
      <c r="I82" s="12">
        <f t="shared" si="62"/>
        <v>116.12</v>
      </c>
      <c r="J82" s="12">
        <f t="shared" si="62"/>
        <v>2</v>
      </c>
      <c r="K82" s="90">
        <f t="shared" si="63"/>
        <v>0.017223561832586977</v>
      </c>
      <c r="L82" s="94">
        <v>6</v>
      </c>
      <c r="M82" s="95">
        <v>0</v>
      </c>
      <c r="N82" s="93">
        <f t="shared" si="65"/>
        <v>0</v>
      </c>
      <c r="O82" s="95">
        <v>0</v>
      </c>
      <c r="P82" s="95">
        <v>0</v>
      </c>
      <c r="Q82" s="93">
        <v>0</v>
      </c>
    </row>
    <row r="83" ht="15.75" hidden="1" customHeight="1" outlineLevel="1">
      <c r="A83" s="11"/>
      <c r="B83" s="11" t="s">
        <v>155</v>
      </c>
      <c r="C83" s="12">
        <f>18.51+2.67+5.66+3.18+0.67+3+30.54+11.4</f>
        <v>75.629999999999995</v>
      </c>
      <c r="D83" s="12">
        <f>1.05+1.1+0.9</f>
        <v>3.0500000000000003</v>
      </c>
      <c r="E83" s="90">
        <f t="shared" si="64"/>
        <v>0.0403279122041518</v>
      </c>
      <c r="F83" s="12"/>
      <c r="G83" s="12"/>
      <c r="H83" s="90"/>
      <c r="I83" s="12">
        <f t="shared" si="62"/>
        <v>75.629999999999995</v>
      </c>
      <c r="J83" s="12">
        <f t="shared" si="62"/>
        <v>3.0500000000000003</v>
      </c>
      <c r="K83" s="90">
        <f t="shared" si="63"/>
        <v>0.0403279122041518</v>
      </c>
      <c r="L83" s="94">
        <v>1.3999999999999999</v>
      </c>
      <c r="M83" s="95">
        <v>0</v>
      </c>
      <c r="N83" s="93">
        <f t="shared" si="65"/>
        <v>0</v>
      </c>
      <c r="O83" s="95">
        <v>0</v>
      </c>
      <c r="P83" s="95">
        <v>0</v>
      </c>
      <c r="Q83" s="93">
        <v>0</v>
      </c>
    </row>
    <row r="84" ht="15.75" hidden="1" customHeight="1" outlineLevel="1">
      <c r="A84" s="11"/>
      <c r="B84" s="11" t="s">
        <v>156</v>
      </c>
      <c r="C84" s="12">
        <f>31.31+6.25+8.85+40.62</f>
        <v>87.030000000000001</v>
      </c>
      <c r="D84" s="12">
        <v>3</v>
      </c>
      <c r="E84" s="90">
        <f t="shared" si="64"/>
        <v>0.03447087211306446</v>
      </c>
      <c r="F84" s="96"/>
      <c r="G84" s="12"/>
      <c r="H84" s="90"/>
      <c r="I84" s="12">
        <f t="shared" si="62"/>
        <v>87.030000000000001</v>
      </c>
      <c r="J84" s="12">
        <f t="shared" si="62"/>
        <v>3</v>
      </c>
      <c r="K84" s="90">
        <f t="shared" si="63"/>
        <v>0.03447087211306446</v>
      </c>
      <c r="L84" s="94">
        <v>6</v>
      </c>
      <c r="M84" s="95">
        <v>0</v>
      </c>
      <c r="N84" s="93">
        <f t="shared" si="65"/>
        <v>0</v>
      </c>
      <c r="O84" s="95">
        <v>0</v>
      </c>
      <c r="P84" s="95">
        <v>0</v>
      </c>
      <c r="Q84" s="93">
        <v>0</v>
      </c>
    </row>
    <row r="85" ht="15.75" customHeight="1" collapsed="1">
      <c r="A85" s="88" t="s">
        <v>165</v>
      </c>
      <c r="B85" s="88" t="s">
        <v>148</v>
      </c>
      <c r="C85" s="89">
        <f t="shared" ref="C85:D85" si="66">SUM(C86:C93)</f>
        <v>716.86000000000001</v>
      </c>
      <c r="D85" s="89">
        <f t="shared" si="66"/>
        <v>35.719999999999999</v>
      </c>
      <c r="E85" s="90">
        <f t="shared" si="64"/>
        <v>0.049828418380157911</v>
      </c>
      <c r="F85" s="89">
        <f t="shared" si="54"/>
        <v>66.700000000000003</v>
      </c>
      <c r="G85" s="89">
        <f t="shared" si="54"/>
        <v>1</v>
      </c>
      <c r="H85" s="90">
        <f t="shared" si="42"/>
        <v>0.014992503748125937</v>
      </c>
      <c r="I85" s="89">
        <f t="shared" ref="I85:J85" si="67">SUM(I86:I93)</f>
        <v>650.16000000000008</v>
      </c>
      <c r="J85" s="89">
        <f t="shared" si="67"/>
        <v>34.719999999999999</v>
      </c>
      <c r="K85" s="90">
        <f t="shared" si="63"/>
        <v>0.053402239448751068</v>
      </c>
      <c r="L85" s="91">
        <f t="shared" si="56"/>
        <v>35.329999999999998</v>
      </c>
      <c r="M85" s="92">
        <f t="shared" si="56"/>
        <v>5</v>
      </c>
      <c r="N85" s="93">
        <f t="shared" si="65"/>
        <v>0.14152278516841213</v>
      </c>
      <c r="O85" s="92">
        <f t="shared" si="57"/>
        <v>3</v>
      </c>
      <c r="P85" s="92">
        <f t="shared" si="57"/>
        <v>2</v>
      </c>
      <c r="Q85" s="93">
        <f t="shared" si="61"/>
        <v>0.66666666666666663</v>
      </c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</row>
    <row r="86" ht="15.75" hidden="1" customHeight="1" outlineLevel="1">
      <c r="A86" s="11"/>
      <c r="B86" s="11" t="s">
        <v>149</v>
      </c>
      <c r="C86" s="12">
        <v>103</v>
      </c>
      <c r="D86" s="12">
        <v>6</v>
      </c>
      <c r="E86" s="90">
        <f t="shared" si="64"/>
        <v>0.058252427184466021</v>
      </c>
      <c r="F86" s="12"/>
      <c r="G86" s="12"/>
      <c r="H86" s="90"/>
      <c r="I86" s="12">
        <f t="shared" ref="I86:J93" si="68">C86-F86</f>
        <v>103</v>
      </c>
      <c r="J86" s="12">
        <f t="shared" si="68"/>
        <v>6</v>
      </c>
      <c r="K86" s="90">
        <f t="shared" si="63"/>
        <v>0.058252427184466021</v>
      </c>
      <c r="L86" s="94">
        <v>4</v>
      </c>
      <c r="M86" s="95">
        <v>0</v>
      </c>
      <c r="N86" s="93">
        <f t="shared" si="65"/>
        <v>0</v>
      </c>
      <c r="O86" s="95">
        <v>0</v>
      </c>
      <c r="P86" s="95">
        <v>0</v>
      </c>
      <c r="Q86" s="93">
        <v>0</v>
      </c>
    </row>
    <row r="87" ht="15.75" hidden="1" customHeight="1" outlineLevel="1">
      <c r="A87" s="11"/>
      <c r="B87" s="11" t="s">
        <v>150</v>
      </c>
      <c r="C87" s="12"/>
      <c r="D87" s="12"/>
      <c r="E87" s="90" t="e">
        <f t="shared" si="64"/>
        <v>#DIV/0!</v>
      </c>
      <c r="F87" s="12"/>
      <c r="G87" s="12"/>
      <c r="H87" s="90"/>
      <c r="I87" s="12">
        <f t="shared" si="68"/>
        <v>0</v>
      </c>
      <c r="J87" s="12">
        <f t="shared" si="68"/>
        <v>0</v>
      </c>
      <c r="K87" s="90" t="e">
        <f t="shared" si="63"/>
        <v>#DIV/0!</v>
      </c>
      <c r="L87" s="94">
        <v>0</v>
      </c>
      <c r="M87" s="95">
        <v>0</v>
      </c>
      <c r="N87" s="93">
        <v>0</v>
      </c>
      <c r="O87" s="95">
        <v>0</v>
      </c>
      <c r="P87" s="95">
        <v>0</v>
      </c>
      <c r="Q87" s="93">
        <v>0</v>
      </c>
    </row>
    <row r="88" ht="15.75" hidden="1" customHeight="1" outlineLevel="1">
      <c r="A88" s="11"/>
      <c r="B88" s="11" t="s">
        <v>151</v>
      </c>
      <c r="C88" s="12">
        <f>216.09-85.38</f>
        <v>130.71000000000001</v>
      </c>
      <c r="D88" s="12">
        <f>3.2-0.2</f>
        <v>3</v>
      </c>
      <c r="E88" s="90">
        <f t="shared" si="64"/>
        <v>0.022951572182694512</v>
      </c>
      <c r="F88" s="12">
        <v>66.700000000000003</v>
      </c>
      <c r="G88" s="12">
        <v>1</v>
      </c>
      <c r="H88" s="90"/>
      <c r="I88" s="12">
        <f t="shared" si="68"/>
        <v>64.010000000000005</v>
      </c>
      <c r="J88" s="12">
        <f t="shared" si="68"/>
        <v>2</v>
      </c>
      <c r="K88" s="90">
        <f t="shared" si="63"/>
        <v>0.031245117950320259</v>
      </c>
      <c r="L88" s="94">
        <v>6.3300000000000001</v>
      </c>
      <c r="M88" s="95">
        <v>1</v>
      </c>
      <c r="N88" s="93">
        <f t="shared" si="65"/>
        <v>0.15797788309636651</v>
      </c>
      <c r="O88" s="95">
        <v>2</v>
      </c>
      <c r="P88" s="95">
        <v>1</v>
      </c>
      <c r="Q88" s="93">
        <f t="shared" si="61"/>
        <v>0.5</v>
      </c>
    </row>
    <row r="89" ht="15.75" hidden="1" customHeight="1" outlineLevel="1">
      <c r="A89" s="11"/>
      <c r="B89" s="11" t="s">
        <v>152</v>
      </c>
      <c r="C89" s="12">
        <f>34.77+12+60.21</f>
        <v>106.98</v>
      </c>
      <c r="D89" s="12">
        <f>2+3</f>
        <v>5</v>
      </c>
      <c r="E89" s="90">
        <f t="shared" si="64"/>
        <v>0.046737707982800525</v>
      </c>
      <c r="F89" s="12"/>
      <c r="G89" s="12"/>
      <c r="H89" s="90"/>
      <c r="I89" s="12">
        <f t="shared" si="68"/>
        <v>106.98</v>
      </c>
      <c r="J89" s="12">
        <f t="shared" si="68"/>
        <v>5</v>
      </c>
      <c r="K89" s="90">
        <f t="shared" si="63"/>
        <v>0.046737707982800525</v>
      </c>
      <c r="L89" s="94">
        <v>7.8300000000000001</v>
      </c>
      <c r="M89" s="95">
        <v>2</v>
      </c>
      <c r="N89" s="93">
        <f t="shared" si="65"/>
        <v>0.2554278416347382</v>
      </c>
      <c r="O89" s="95">
        <v>0</v>
      </c>
      <c r="P89" s="95">
        <v>0</v>
      </c>
      <c r="Q89" s="93">
        <v>0</v>
      </c>
    </row>
    <row r="90" ht="15.75" hidden="1" customHeight="1" outlineLevel="1">
      <c r="A90" s="11"/>
      <c r="B90" s="11" t="s">
        <v>153</v>
      </c>
      <c r="C90" s="12">
        <v>104.69</v>
      </c>
      <c r="D90" s="12">
        <v>6.75</v>
      </c>
      <c r="E90" s="90">
        <f t="shared" si="64"/>
        <v>0.064476072213200883</v>
      </c>
      <c r="F90" s="12"/>
      <c r="G90" s="12"/>
      <c r="H90" s="90"/>
      <c r="I90" s="12">
        <f t="shared" si="68"/>
        <v>104.69</v>
      </c>
      <c r="J90" s="12">
        <f t="shared" si="68"/>
        <v>6.75</v>
      </c>
      <c r="K90" s="90">
        <f t="shared" si="63"/>
        <v>0.064476072213200883</v>
      </c>
      <c r="L90" s="94">
        <v>5</v>
      </c>
      <c r="M90" s="95">
        <v>0</v>
      </c>
      <c r="N90" s="93">
        <f t="shared" si="65"/>
        <v>0</v>
      </c>
      <c r="O90" s="95">
        <v>1</v>
      </c>
      <c r="P90" s="95">
        <v>1</v>
      </c>
      <c r="Q90" s="93">
        <f t="shared" si="61"/>
        <v>1</v>
      </c>
    </row>
    <row r="91" ht="15.75" hidden="1" customHeight="1" outlineLevel="1">
      <c r="A91" s="11"/>
      <c r="B91" s="11" t="s">
        <v>154</v>
      </c>
      <c r="C91" s="12">
        <v>115.48</v>
      </c>
      <c r="D91" s="12">
        <v>6</v>
      </c>
      <c r="E91" s="90">
        <f t="shared" si="64"/>
        <v>0.051957048839625909</v>
      </c>
      <c r="F91" s="12"/>
      <c r="G91" s="12"/>
      <c r="H91" s="90"/>
      <c r="I91" s="12">
        <f t="shared" si="68"/>
        <v>115.48</v>
      </c>
      <c r="J91" s="12">
        <f t="shared" si="68"/>
        <v>6</v>
      </c>
      <c r="K91" s="90">
        <f t="shared" si="63"/>
        <v>0.051957048839625909</v>
      </c>
      <c r="L91" s="94">
        <v>5.1699999999999999</v>
      </c>
      <c r="M91" s="95">
        <v>1</v>
      </c>
      <c r="N91" s="93">
        <f t="shared" si="65"/>
        <v>0.19342359767891684</v>
      </c>
      <c r="O91" s="95">
        <v>0</v>
      </c>
      <c r="P91" s="95">
        <v>0</v>
      </c>
      <c r="Q91" s="93">
        <v>0</v>
      </c>
    </row>
    <row r="92" ht="15.75" hidden="1" customHeight="1" outlineLevel="1">
      <c r="A92" s="11"/>
      <c r="B92" s="11" t="s">
        <v>155</v>
      </c>
      <c r="C92" s="12">
        <f>17.19+2.67+5.39+3.18+3+30.07+10.77</f>
        <v>72.269999999999996</v>
      </c>
      <c r="D92" s="12">
        <v>4</v>
      </c>
      <c r="E92" s="90">
        <f t="shared" si="64"/>
        <v>0.055348000553480006</v>
      </c>
      <c r="F92" s="12"/>
      <c r="G92" s="12"/>
      <c r="H92" s="90"/>
      <c r="I92" s="12">
        <f t="shared" si="68"/>
        <v>72.269999999999996</v>
      </c>
      <c r="J92" s="12">
        <f t="shared" si="68"/>
        <v>4</v>
      </c>
      <c r="K92" s="90">
        <f t="shared" si="63"/>
        <v>0.055348000553480006</v>
      </c>
      <c r="L92" s="94">
        <v>0.59999999999999998</v>
      </c>
      <c r="M92" s="95">
        <v>1</v>
      </c>
      <c r="N92" s="93">
        <f t="shared" si="65"/>
        <v>1.6666666666666667</v>
      </c>
      <c r="O92" s="95">
        <v>0</v>
      </c>
      <c r="P92" s="95">
        <v>0</v>
      </c>
      <c r="Q92" s="93">
        <v>0</v>
      </c>
    </row>
    <row r="93" ht="15.75" hidden="1" customHeight="1" outlineLevel="1">
      <c r="A93" s="11"/>
      <c r="B93" s="11" t="s">
        <v>156</v>
      </c>
      <c r="C93" s="12">
        <f>31.62+4.87+8.85+38.39</f>
        <v>83.730000000000004</v>
      </c>
      <c r="D93" s="12">
        <f>0.97+2+2</f>
        <v>4.9699999999999998</v>
      </c>
      <c r="E93" s="90">
        <f t="shared" si="64"/>
        <v>0.059357458497551648</v>
      </c>
      <c r="F93" s="96"/>
      <c r="G93" s="12"/>
      <c r="H93" s="90"/>
      <c r="I93" s="12">
        <f t="shared" si="68"/>
        <v>83.730000000000004</v>
      </c>
      <c r="J93" s="12">
        <f t="shared" si="68"/>
        <v>4.9699999999999998</v>
      </c>
      <c r="K93" s="90">
        <f t="shared" si="63"/>
        <v>0.059357458497551648</v>
      </c>
      <c r="L93" s="94">
        <v>6.4000000000000004</v>
      </c>
      <c r="M93" s="95">
        <v>0</v>
      </c>
      <c r="N93" s="93">
        <f t="shared" si="65"/>
        <v>0</v>
      </c>
      <c r="O93" s="95">
        <v>0</v>
      </c>
      <c r="P93" s="95">
        <v>0</v>
      </c>
      <c r="Q93" s="93">
        <v>0</v>
      </c>
    </row>
    <row r="94" ht="15.75" customHeight="1" collapsed="1">
      <c r="A94" s="88" t="s">
        <v>166</v>
      </c>
      <c r="B94" s="88" t="s">
        <v>148</v>
      </c>
      <c r="C94" s="89">
        <f t="shared" ref="C94:D94" si="69">SUM(C95:C102)</f>
        <v>719.27999999999997</v>
      </c>
      <c r="D94" s="89">
        <f t="shared" si="69"/>
        <v>23</v>
      </c>
      <c r="E94" s="90">
        <f t="shared" si="64"/>
        <v>0.031976420865309753</v>
      </c>
      <c r="F94" s="89">
        <f t="shared" ref="F94:G94" si="70">SUM(F95:F102)</f>
        <v>67.150000000000006</v>
      </c>
      <c r="G94" s="89">
        <f t="shared" si="70"/>
        <v>1.5</v>
      </c>
      <c r="H94" s="90">
        <f t="shared" si="42"/>
        <v>0.022338049143708114</v>
      </c>
      <c r="I94" s="89">
        <f t="shared" ref="I94:J94" si="71">SUM(I95:I102)</f>
        <v>652.13000000000011</v>
      </c>
      <c r="J94" s="89">
        <f t="shared" si="71"/>
        <v>21.5</v>
      </c>
      <c r="K94" s="90">
        <f t="shared" si="63"/>
        <v>0.032968886571695825</v>
      </c>
      <c r="L94" s="91">
        <f t="shared" ref="L94:M94" si="72">SUM(L95:L102)</f>
        <v>35.179999999999993</v>
      </c>
      <c r="M94" s="92">
        <f t="shared" si="72"/>
        <v>3</v>
      </c>
      <c r="N94" s="93">
        <f t="shared" si="65"/>
        <v>0.085275724843661194</v>
      </c>
      <c r="O94" s="92">
        <f t="shared" ref="O94:P94" si="73">SUM(O95:O102)</f>
        <v>2</v>
      </c>
      <c r="P94" s="92">
        <f t="shared" si="73"/>
        <v>0</v>
      </c>
      <c r="Q94" s="93">
        <v>0</v>
      </c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</row>
    <row r="95" ht="15.75" hidden="1" customHeight="1" outlineLevel="1">
      <c r="A95" s="11"/>
      <c r="B95" s="11" t="s">
        <v>149</v>
      </c>
      <c r="C95" s="12">
        <v>104</v>
      </c>
      <c r="D95" s="12">
        <v>5</v>
      </c>
      <c r="E95" s="90">
        <f t="shared" si="64"/>
        <v>0.04807692307692308</v>
      </c>
      <c r="F95" s="12"/>
      <c r="G95" s="12"/>
      <c r="H95" s="90"/>
      <c r="I95" s="12">
        <f t="shared" ref="I95:J99" si="74">C95-F95</f>
        <v>104</v>
      </c>
      <c r="J95" s="12">
        <f t="shared" si="74"/>
        <v>5</v>
      </c>
      <c r="K95" s="90">
        <f t="shared" si="63"/>
        <v>0.04807692307692308</v>
      </c>
      <c r="L95" s="94">
        <v>4</v>
      </c>
      <c r="M95" s="95">
        <v>0</v>
      </c>
      <c r="N95" s="93">
        <f t="shared" si="65"/>
        <v>0</v>
      </c>
      <c r="O95" s="95">
        <v>0</v>
      </c>
      <c r="P95" s="95">
        <v>0</v>
      </c>
      <c r="Q95" s="93">
        <v>0</v>
      </c>
    </row>
    <row r="96" ht="15.75" hidden="1" customHeight="1" outlineLevel="1">
      <c r="A96" s="11"/>
      <c r="B96" s="11" t="s">
        <v>150</v>
      </c>
      <c r="C96" s="12"/>
      <c r="D96" s="12"/>
      <c r="E96" s="90" t="e">
        <f t="shared" si="64"/>
        <v>#DIV/0!</v>
      </c>
      <c r="F96" s="12"/>
      <c r="G96" s="12"/>
      <c r="H96" s="90"/>
      <c r="I96" s="12">
        <f t="shared" si="74"/>
        <v>0</v>
      </c>
      <c r="J96" s="12">
        <f t="shared" si="74"/>
        <v>0</v>
      </c>
      <c r="K96" s="90" t="e">
        <f t="shared" si="63"/>
        <v>#DIV/0!</v>
      </c>
      <c r="L96" s="94">
        <v>0</v>
      </c>
      <c r="M96" s="95">
        <v>0</v>
      </c>
      <c r="N96" s="93">
        <v>0</v>
      </c>
      <c r="O96" s="95">
        <v>0</v>
      </c>
      <c r="P96" s="95">
        <v>0</v>
      </c>
      <c r="Q96" s="93">
        <v>0</v>
      </c>
    </row>
    <row r="97" ht="15.75" hidden="1" customHeight="1" outlineLevel="1">
      <c r="A97" s="11"/>
      <c r="B97" s="11" t="s">
        <v>151</v>
      </c>
      <c r="C97" s="12">
        <f>218.42-84.33</f>
        <v>134.08999999999997</v>
      </c>
      <c r="D97" s="12">
        <f>5.5-1</f>
        <v>4.5</v>
      </c>
      <c r="E97" s="90">
        <f t="shared" si="64"/>
        <v>0.033559549556268185</v>
      </c>
      <c r="F97" s="12">
        <v>67.150000000000006</v>
      </c>
      <c r="G97" s="12">
        <v>1.5</v>
      </c>
      <c r="H97" s="90"/>
      <c r="I97" s="12">
        <f t="shared" si="74"/>
        <v>66.939999999999969</v>
      </c>
      <c r="J97" s="12">
        <f t="shared" si="74"/>
        <v>3</v>
      </c>
      <c r="K97" s="90">
        <f t="shared" si="63"/>
        <v>0.04481625336121902</v>
      </c>
      <c r="L97" s="94">
        <v>8.4199999999999999</v>
      </c>
      <c r="M97" s="95">
        <v>2</v>
      </c>
      <c r="N97" s="93">
        <f t="shared" si="65"/>
        <v>0.23752969121140144</v>
      </c>
      <c r="O97" s="95">
        <v>2</v>
      </c>
      <c r="P97" s="95">
        <v>0</v>
      </c>
      <c r="Q97" s="93">
        <f t="shared" si="61"/>
        <v>0</v>
      </c>
    </row>
    <row r="98" ht="15.75" hidden="1" customHeight="1" outlineLevel="1">
      <c r="A98" s="11"/>
      <c r="B98" s="11" t="s">
        <v>152</v>
      </c>
      <c r="C98" s="12">
        <v>106.98</v>
      </c>
      <c r="D98" s="12">
        <f>0.5</f>
        <v>0.5</v>
      </c>
      <c r="E98" s="90">
        <f t="shared" si="64"/>
        <v>0.0046737707982800521</v>
      </c>
      <c r="F98" s="12"/>
      <c r="G98" s="12"/>
      <c r="H98" s="90"/>
      <c r="I98" s="12">
        <f t="shared" si="74"/>
        <v>106.98</v>
      </c>
      <c r="J98" s="12">
        <f t="shared" si="74"/>
        <v>0.5</v>
      </c>
      <c r="K98" s="90">
        <f t="shared" si="63"/>
        <v>0.0046737707982800521</v>
      </c>
      <c r="L98" s="94">
        <v>5.5199999999999996</v>
      </c>
      <c r="M98" s="95">
        <v>0</v>
      </c>
      <c r="N98" s="93">
        <f t="shared" si="65"/>
        <v>0</v>
      </c>
      <c r="O98" s="95">
        <v>0</v>
      </c>
      <c r="P98" s="95">
        <v>0</v>
      </c>
      <c r="Q98" s="93">
        <v>0</v>
      </c>
    </row>
    <row r="99" ht="15.75" hidden="1" customHeight="1" outlineLevel="1">
      <c r="A99" s="11"/>
      <c r="B99" s="11" t="s">
        <v>153</v>
      </c>
      <c r="C99" s="12">
        <v>106.47</v>
      </c>
      <c r="D99" s="12">
        <v>6</v>
      </c>
      <c r="E99" s="90">
        <f t="shared" si="64"/>
        <v>0.05635390250774866</v>
      </c>
      <c r="F99" s="12"/>
      <c r="G99" s="12"/>
      <c r="H99" s="90"/>
      <c r="I99" s="12">
        <f t="shared" si="74"/>
        <v>106.47</v>
      </c>
      <c r="J99" s="12">
        <f t="shared" si="74"/>
        <v>6</v>
      </c>
      <c r="K99" s="90">
        <f t="shared" si="63"/>
        <v>0.05635390250774866</v>
      </c>
      <c r="L99" s="94">
        <v>4.8399999999999999</v>
      </c>
      <c r="M99" s="95">
        <v>1</v>
      </c>
      <c r="N99" s="93">
        <f t="shared" si="65"/>
        <v>0.20661157024793389</v>
      </c>
      <c r="O99" s="95">
        <v>0</v>
      </c>
      <c r="P99" s="95">
        <v>0</v>
      </c>
      <c r="Q99" s="93">
        <v>0</v>
      </c>
    </row>
    <row r="100" ht="15.75" hidden="1" customHeight="1" outlineLevel="1">
      <c r="A100" s="11"/>
      <c r="B100" s="11" t="s">
        <v>154</v>
      </c>
      <c r="C100" s="12">
        <v>113.06</v>
      </c>
      <c r="D100" s="12">
        <v>1</v>
      </c>
      <c r="E100" s="90">
        <f t="shared" si="64"/>
        <v>0.0088448611356801692</v>
      </c>
      <c r="F100" s="12"/>
      <c r="G100" s="12"/>
      <c r="H100" s="90"/>
      <c r="I100" s="12">
        <f t="shared" ref="I100:J102" si="75">C100-F100</f>
        <v>113.06</v>
      </c>
      <c r="J100" s="12">
        <f t="shared" si="75"/>
        <v>1</v>
      </c>
      <c r="K100" s="90">
        <f t="shared" si="63"/>
        <v>0.0088448611356801692</v>
      </c>
      <c r="L100" s="94">
        <v>5</v>
      </c>
      <c r="M100" s="95">
        <v>0</v>
      </c>
      <c r="N100" s="93">
        <f t="shared" si="65"/>
        <v>0</v>
      </c>
      <c r="O100" s="95">
        <v>0</v>
      </c>
      <c r="P100" s="95">
        <v>0</v>
      </c>
      <c r="Q100" s="93">
        <v>0</v>
      </c>
    </row>
    <row r="101" ht="15.75" hidden="1" customHeight="1" outlineLevel="1">
      <c r="A101" s="11"/>
      <c r="B101" s="11" t="s">
        <v>155</v>
      </c>
      <c r="C101" s="12">
        <f>17.69+2.67+5.49+3.18+3+31.52+10.2</f>
        <v>73.75</v>
      </c>
      <c r="D101" s="12">
        <v>1</v>
      </c>
      <c r="E101" s="90">
        <f t="shared" si="64"/>
        <v>0.013559322033898305</v>
      </c>
      <c r="F101" s="12"/>
      <c r="G101" s="12"/>
      <c r="H101" s="90"/>
      <c r="I101" s="12">
        <f t="shared" si="75"/>
        <v>73.75</v>
      </c>
      <c r="J101" s="12">
        <f t="shared" si="75"/>
        <v>1</v>
      </c>
      <c r="K101" s="90">
        <f t="shared" si="63"/>
        <v>0.013559322033898305</v>
      </c>
      <c r="L101" s="94">
        <v>0.40000000000000002</v>
      </c>
      <c r="M101" s="95">
        <v>0</v>
      </c>
      <c r="N101" s="93">
        <f t="shared" si="65"/>
        <v>0</v>
      </c>
      <c r="O101" s="95">
        <v>0</v>
      </c>
      <c r="P101" s="95">
        <v>0</v>
      </c>
      <c r="Q101" s="93">
        <v>0</v>
      </c>
    </row>
    <row r="102" ht="15.75" hidden="1" customHeight="1" outlineLevel="1">
      <c r="A102" s="11"/>
      <c r="B102" s="11" t="s">
        <v>156</v>
      </c>
      <c r="C102" s="12">
        <f>32.51+1.67+8.85+37.9</f>
        <v>80.930000000000007</v>
      </c>
      <c r="D102" s="12">
        <f>2+3</f>
        <v>5</v>
      </c>
      <c r="E102" s="90">
        <f t="shared" si="64"/>
        <v>0.061781786729272203</v>
      </c>
      <c r="F102" s="96"/>
      <c r="G102" s="12"/>
      <c r="H102" s="90"/>
      <c r="I102" s="12">
        <f t="shared" si="75"/>
        <v>80.930000000000007</v>
      </c>
      <c r="J102" s="12">
        <f t="shared" si="75"/>
        <v>5</v>
      </c>
      <c r="K102" s="90">
        <f t="shared" si="63"/>
        <v>0.061781786729272203</v>
      </c>
      <c r="L102" s="94">
        <v>7</v>
      </c>
      <c r="M102" s="95">
        <v>0</v>
      </c>
      <c r="N102" s="93">
        <f t="shared" si="65"/>
        <v>0</v>
      </c>
      <c r="O102" s="95">
        <v>0</v>
      </c>
      <c r="P102" s="95">
        <v>0</v>
      </c>
      <c r="Q102" s="93">
        <v>0</v>
      </c>
    </row>
    <row r="103" ht="15.75" customHeight="1" collapsed="1">
      <c r="A103" s="88" t="s">
        <v>167</v>
      </c>
      <c r="B103" s="88" t="s">
        <v>148</v>
      </c>
      <c r="C103" s="89">
        <f t="shared" ref="C103:D103" si="76">SUM(C104:C111)</f>
        <v>730.80000000000007</v>
      </c>
      <c r="D103" s="89">
        <f t="shared" si="76"/>
        <v>25.25</v>
      </c>
      <c r="E103" s="90">
        <f t="shared" si="64"/>
        <v>0.0345511767925561</v>
      </c>
      <c r="F103" s="89">
        <f t="shared" ref="F103:G121" si="77">SUM(F104:F111)</f>
        <v>69.400000000000006</v>
      </c>
      <c r="G103" s="89">
        <f t="shared" si="77"/>
        <v>2</v>
      </c>
      <c r="H103" s="90">
        <f>G103/F103*100%</f>
        <v>0.028818443804034581</v>
      </c>
      <c r="I103" s="89">
        <f t="shared" ref="I103:J103" si="78">SUM(I104:I111)</f>
        <v>661.39999999999998</v>
      </c>
      <c r="J103" s="89">
        <f t="shared" si="78"/>
        <v>23.25</v>
      </c>
      <c r="K103" s="90">
        <f t="shared" si="63"/>
        <v>0.035152706380405199</v>
      </c>
      <c r="L103" s="91">
        <f t="shared" ref="L103:M121" si="79">SUM(L104:L111)</f>
        <v>39.460000000000001</v>
      </c>
      <c r="M103" s="92">
        <f t="shared" si="79"/>
        <v>1</v>
      </c>
      <c r="N103" s="93">
        <f t="shared" si="65"/>
        <v>0.025342118601115054</v>
      </c>
      <c r="O103" s="92">
        <f t="shared" ref="O103:P121" si="80">SUM(O104:O111)</f>
        <v>2</v>
      </c>
      <c r="P103" s="92">
        <f t="shared" si="80"/>
        <v>0</v>
      </c>
      <c r="Q103" s="93">
        <f>P103/O103*100%</f>
        <v>0</v>
      </c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</row>
    <row r="104" ht="15.75" hidden="1" customHeight="1" outlineLevel="1">
      <c r="A104" s="11"/>
      <c r="B104" s="11" t="s">
        <v>149</v>
      </c>
      <c r="C104" s="12">
        <v>105</v>
      </c>
      <c r="D104" s="12">
        <v>6</v>
      </c>
      <c r="E104" s="90">
        <f t="shared" si="64"/>
        <v>0.057142857142857141</v>
      </c>
      <c r="F104" s="12"/>
      <c r="G104" s="12"/>
      <c r="H104" s="90"/>
      <c r="I104" s="12">
        <f t="shared" ref="I104:J111" si="81">C104-F104</f>
        <v>105</v>
      </c>
      <c r="J104" s="12">
        <f t="shared" si="81"/>
        <v>6</v>
      </c>
      <c r="K104" s="90">
        <f t="shared" si="63"/>
        <v>0.057142857142857141</v>
      </c>
      <c r="L104" s="94">
        <v>4</v>
      </c>
      <c r="M104" s="95">
        <v>0</v>
      </c>
      <c r="N104" s="93">
        <f t="shared" si="65"/>
        <v>0</v>
      </c>
      <c r="O104" s="95">
        <v>0</v>
      </c>
      <c r="P104" s="95">
        <v>0</v>
      </c>
      <c r="Q104" s="93">
        <v>0</v>
      </c>
    </row>
    <row r="105" ht="15.75" hidden="1" customHeight="1" outlineLevel="1">
      <c r="A105" s="11"/>
      <c r="B105" s="112" t="s">
        <v>150</v>
      </c>
      <c r="C105" s="12"/>
      <c r="D105" s="12"/>
      <c r="E105" s="90" t="e">
        <f t="shared" si="64"/>
        <v>#DIV/0!</v>
      </c>
      <c r="F105" s="12"/>
      <c r="G105" s="12"/>
      <c r="H105" s="90"/>
      <c r="I105" s="12">
        <f t="shared" si="81"/>
        <v>0</v>
      </c>
      <c r="J105" s="12">
        <f t="shared" si="81"/>
        <v>0</v>
      </c>
      <c r="K105" s="90" t="e">
        <f t="shared" si="63"/>
        <v>#DIV/0!</v>
      </c>
      <c r="L105" s="94">
        <v>0</v>
      </c>
      <c r="M105" s="95">
        <v>0</v>
      </c>
      <c r="N105" s="93">
        <v>0</v>
      </c>
      <c r="O105" s="95">
        <v>0</v>
      </c>
      <c r="P105" s="95">
        <v>0</v>
      </c>
      <c r="Q105" s="93">
        <v>0</v>
      </c>
    </row>
    <row r="106" ht="15.75" hidden="1" customHeight="1" outlineLevel="1">
      <c r="A106" s="11"/>
      <c r="B106" s="11" t="s">
        <v>151</v>
      </c>
      <c r="C106" s="12">
        <f>220.34-84.3</f>
        <v>136.04000000000002</v>
      </c>
      <c r="D106" s="12">
        <f>3-0</f>
        <v>3</v>
      </c>
      <c r="E106" s="90">
        <f t="shared" si="64"/>
        <v>0.022052337547780063</v>
      </c>
      <c r="F106" s="12">
        <v>69.400000000000006</v>
      </c>
      <c r="G106" s="12">
        <v>2</v>
      </c>
      <c r="H106" s="90"/>
      <c r="I106" s="12">
        <f t="shared" si="81"/>
        <v>66.640000000000015</v>
      </c>
      <c r="J106" s="12">
        <f t="shared" si="81"/>
        <v>1</v>
      </c>
      <c r="K106" s="90">
        <f t="shared" si="63"/>
        <v>0.01500600240096038</v>
      </c>
      <c r="L106" s="94">
        <v>8.3699999999999992</v>
      </c>
      <c r="M106" s="95">
        <v>1</v>
      </c>
      <c r="N106" s="93">
        <f t="shared" ref="N106:N169" si="82">M106/L106*100%</f>
        <v>0.11947431302270013</v>
      </c>
      <c r="O106" s="95">
        <v>2</v>
      </c>
      <c r="P106" s="95">
        <v>0</v>
      </c>
      <c r="Q106" s="93">
        <f>P106/O106*100%</f>
        <v>0</v>
      </c>
    </row>
    <row r="107" ht="15.75" hidden="1" customHeight="1" outlineLevel="1">
      <c r="A107" s="11"/>
      <c r="B107" s="11" t="s">
        <v>152</v>
      </c>
      <c r="C107" s="12">
        <f>34.04+12.07+62.08</f>
        <v>108.19</v>
      </c>
      <c r="D107" s="12">
        <v>3.5</v>
      </c>
      <c r="E107" s="90">
        <f t="shared" si="64"/>
        <v>0.032350494500415938</v>
      </c>
      <c r="F107" s="12"/>
      <c r="G107" s="12"/>
      <c r="H107" s="90"/>
      <c r="I107" s="12">
        <f t="shared" si="81"/>
        <v>108.19</v>
      </c>
      <c r="J107" s="12">
        <f t="shared" si="81"/>
        <v>3.5</v>
      </c>
      <c r="K107" s="90">
        <f t="shared" si="63"/>
        <v>0.032350494500415938</v>
      </c>
      <c r="L107" s="94">
        <v>7.7699999999999996</v>
      </c>
      <c r="M107" s="95">
        <v>0</v>
      </c>
      <c r="N107" s="93">
        <f t="shared" si="82"/>
        <v>0</v>
      </c>
      <c r="O107" s="95">
        <v>0</v>
      </c>
      <c r="P107" s="95">
        <v>0</v>
      </c>
      <c r="Q107" s="93">
        <v>0</v>
      </c>
    </row>
    <row r="108" ht="15.75" hidden="1" customHeight="1" outlineLevel="1">
      <c r="A108" s="11"/>
      <c r="B108" s="11" t="s">
        <v>153</v>
      </c>
      <c r="C108" s="12">
        <v>111.13</v>
      </c>
      <c r="D108" s="12">
        <v>1.25</v>
      </c>
      <c r="E108" s="90">
        <f t="shared" si="64"/>
        <v>0.011248087825069739</v>
      </c>
      <c r="F108" s="12"/>
      <c r="G108" s="12"/>
      <c r="H108" s="90"/>
      <c r="I108" s="12">
        <f t="shared" si="81"/>
        <v>111.13</v>
      </c>
      <c r="J108" s="12">
        <f t="shared" si="81"/>
        <v>1.25</v>
      </c>
      <c r="K108" s="90">
        <f t="shared" si="63"/>
        <v>0.011248087825069739</v>
      </c>
      <c r="L108" s="94">
        <v>5.9500000000000002</v>
      </c>
      <c r="M108" s="95">
        <v>0</v>
      </c>
      <c r="N108" s="93">
        <f t="shared" si="82"/>
        <v>0</v>
      </c>
      <c r="O108" s="95">
        <v>0</v>
      </c>
      <c r="P108" s="95">
        <v>0</v>
      </c>
      <c r="Q108" s="93">
        <v>0</v>
      </c>
    </row>
    <row r="109" ht="15.75" hidden="1" customHeight="1" outlineLevel="1">
      <c r="A109" s="11"/>
      <c r="B109" s="11" t="s">
        <v>154</v>
      </c>
      <c r="C109" s="12">
        <v>112.56</v>
      </c>
      <c r="D109" s="12">
        <v>3</v>
      </c>
      <c r="E109" s="90">
        <f t="shared" si="64"/>
        <v>0.026652452025586353</v>
      </c>
      <c r="F109" s="12"/>
      <c r="G109" s="12"/>
      <c r="H109" s="90"/>
      <c r="I109" s="12">
        <f t="shared" si="81"/>
        <v>112.56</v>
      </c>
      <c r="J109" s="12">
        <f t="shared" si="81"/>
        <v>3</v>
      </c>
      <c r="K109" s="90">
        <f t="shared" si="63"/>
        <v>0.026652452025586353</v>
      </c>
      <c r="L109" s="94">
        <v>5.9699999999999998</v>
      </c>
      <c r="M109" s="95">
        <v>0</v>
      </c>
      <c r="N109" s="93">
        <f t="shared" si="82"/>
        <v>0</v>
      </c>
      <c r="O109" s="95">
        <v>0</v>
      </c>
      <c r="P109" s="95">
        <v>0</v>
      </c>
      <c r="Q109" s="93">
        <v>0</v>
      </c>
    </row>
    <row r="110" ht="15.75" hidden="1" customHeight="1" outlineLevel="1">
      <c r="A110" s="11"/>
      <c r="B110" s="11" t="s">
        <v>155</v>
      </c>
      <c r="C110" s="12">
        <f>17.69+2.67+5.46+3.18+3+31.15+10.1</f>
        <v>73.25</v>
      </c>
      <c r="D110" s="12">
        <f>1+3</f>
        <v>4</v>
      </c>
      <c r="E110" s="90">
        <f t="shared" si="64"/>
        <v>0.054607508532423209</v>
      </c>
      <c r="F110" s="12"/>
      <c r="G110" s="12"/>
      <c r="H110" s="90"/>
      <c r="I110" s="12">
        <f t="shared" si="81"/>
        <v>73.25</v>
      </c>
      <c r="J110" s="12">
        <f t="shared" si="81"/>
        <v>4</v>
      </c>
      <c r="K110" s="90">
        <f t="shared" si="63"/>
        <v>0.054607508532423209</v>
      </c>
      <c r="L110" s="94">
        <v>0.40000000000000002</v>
      </c>
      <c r="M110" s="95">
        <v>0</v>
      </c>
      <c r="N110" s="93">
        <f t="shared" si="82"/>
        <v>0</v>
      </c>
      <c r="O110" s="95">
        <v>0</v>
      </c>
      <c r="P110" s="95">
        <v>0</v>
      </c>
      <c r="Q110" s="93">
        <v>0</v>
      </c>
    </row>
    <row r="111" ht="15.75" hidden="1" customHeight="1" outlineLevel="1">
      <c r="A111" s="11"/>
      <c r="B111" s="11" t="s">
        <v>156</v>
      </c>
      <c r="C111" s="12">
        <f>32.3+0.77+8.75+42.81</f>
        <v>84.629999999999995</v>
      </c>
      <c r="D111" s="12">
        <f>3+1.5</f>
        <v>4.5</v>
      </c>
      <c r="E111" s="90">
        <f t="shared" si="64"/>
        <v>0.053172633817795113</v>
      </c>
      <c r="F111" s="96"/>
      <c r="G111" s="12"/>
      <c r="H111" s="90"/>
      <c r="I111" s="12">
        <f t="shared" si="81"/>
        <v>84.629999999999995</v>
      </c>
      <c r="J111" s="12">
        <f t="shared" si="81"/>
        <v>4.5</v>
      </c>
      <c r="K111" s="90">
        <f t="shared" si="63"/>
        <v>0.053172633817795113</v>
      </c>
      <c r="L111" s="94">
        <v>7</v>
      </c>
      <c r="M111" s="95">
        <v>0</v>
      </c>
      <c r="N111" s="93">
        <f t="shared" si="82"/>
        <v>0</v>
      </c>
      <c r="O111" s="95">
        <v>0</v>
      </c>
      <c r="P111" s="95">
        <v>0</v>
      </c>
      <c r="Q111" s="93">
        <v>0</v>
      </c>
    </row>
    <row r="112" ht="15.75" customHeight="1" collapsed="1">
      <c r="A112" s="88" t="s">
        <v>168</v>
      </c>
      <c r="B112" s="88" t="s">
        <v>148</v>
      </c>
      <c r="C112" s="89">
        <f t="shared" ref="C112:D112" si="83">SUM(C113:C120)</f>
        <v>742.34000000000003</v>
      </c>
      <c r="D112" s="89">
        <f t="shared" si="83"/>
        <v>23.699999999999999</v>
      </c>
      <c r="E112" s="90">
        <f t="shared" si="64"/>
        <v>0.031926071611391008</v>
      </c>
      <c r="F112" s="89">
        <f t="shared" si="77"/>
        <v>70.329999999999998</v>
      </c>
      <c r="G112" s="89">
        <f t="shared" si="77"/>
        <v>5.5999999999999996</v>
      </c>
      <c r="H112" s="90">
        <f>G112/F112*100%</f>
        <v>0.079624626759562056</v>
      </c>
      <c r="I112" s="89">
        <f t="shared" ref="I112:J112" si="84">SUM(I113:I120)</f>
        <v>672.0100000000001</v>
      </c>
      <c r="J112" s="89">
        <f t="shared" si="84"/>
        <v>18.100000000000001</v>
      </c>
      <c r="K112" s="90">
        <f t="shared" si="63"/>
        <v>0.026934123004121961</v>
      </c>
      <c r="L112" s="91">
        <f t="shared" si="79"/>
        <v>40.899999999999999</v>
      </c>
      <c r="M112" s="92">
        <f t="shared" si="79"/>
        <v>1</v>
      </c>
      <c r="N112" s="93">
        <f t="shared" si="82"/>
        <v>0.024449877750611249</v>
      </c>
      <c r="O112" s="92">
        <f t="shared" si="80"/>
        <v>3</v>
      </c>
      <c r="P112" s="92">
        <f t="shared" si="80"/>
        <v>0</v>
      </c>
      <c r="Q112" s="93">
        <f>P112/O112*100%</f>
        <v>0</v>
      </c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</row>
    <row r="113" ht="15.75" hidden="1" customHeight="1" outlineLevel="1">
      <c r="A113" s="11"/>
      <c r="B113" s="11" t="s">
        <v>149</v>
      </c>
      <c r="C113" s="12">
        <v>111</v>
      </c>
      <c r="D113" s="12">
        <v>2</v>
      </c>
      <c r="E113" s="90">
        <f t="shared" si="64"/>
        <v>0.018018018018018018</v>
      </c>
      <c r="F113" s="12"/>
      <c r="G113" s="12"/>
      <c r="H113" s="90"/>
      <c r="I113" s="12">
        <f t="shared" ref="I113:J120" si="85">C113-F113</f>
        <v>111</v>
      </c>
      <c r="J113" s="12">
        <f t="shared" si="85"/>
        <v>2</v>
      </c>
      <c r="K113" s="90">
        <f t="shared" si="63"/>
        <v>0.018018018018018018</v>
      </c>
      <c r="L113" s="94">
        <v>4</v>
      </c>
      <c r="M113" s="95">
        <v>0</v>
      </c>
      <c r="N113" s="93">
        <f t="shared" si="82"/>
        <v>0</v>
      </c>
      <c r="O113" s="95">
        <v>0</v>
      </c>
      <c r="P113" s="95">
        <v>0</v>
      </c>
      <c r="Q113" s="93">
        <v>0</v>
      </c>
    </row>
    <row r="114" ht="15.75" hidden="1" customHeight="1" outlineLevel="1">
      <c r="A114" s="11"/>
      <c r="B114" s="11" t="s">
        <v>150</v>
      </c>
      <c r="C114" s="12"/>
      <c r="D114" s="12"/>
      <c r="E114" s="90" t="e">
        <f t="shared" si="64"/>
        <v>#DIV/0!</v>
      </c>
      <c r="F114" s="12"/>
      <c r="G114" s="12"/>
      <c r="H114" s="90"/>
      <c r="I114" s="12">
        <f t="shared" si="85"/>
        <v>0</v>
      </c>
      <c r="J114" s="12">
        <f t="shared" si="85"/>
        <v>0</v>
      </c>
      <c r="K114" s="90" t="e">
        <f t="shared" si="63"/>
        <v>#DIV/0!</v>
      </c>
      <c r="L114" s="94">
        <v>0</v>
      </c>
      <c r="M114" s="95">
        <v>0</v>
      </c>
      <c r="N114" s="93">
        <v>0</v>
      </c>
      <c r="O114" s="95">
        <v>0</v>
      </c>
      <c r="P114" s="95">
        <v>0</v>
      </c>
      <c r="Q114" s="93">
        <v>0</v>
      </c>
    </row>
    <row r="115" ht="15.75" hidden="1" customHeight="1" outlineLevel="1">
      <c r="A115" s="11"/>
      <c r="B115" s="11" t="s">
        <v>151</v>
      </c>
      <c r="C115" s="12">
        <f>221.07-84.27</f>
        <v>136.80000000000001</v>
      </c>
      <c r="D115" s="12">
        <f>8.1-1.5</f>
        <v>6.5999999999999996</v>
      </c>
      <c r="E115" s="90">
        <f t="shared" si="64"/>
        <v>0.04824561403508771</v>
      </c>
      <c r="F115" s="12">
        <v>70.329999999999998</v>
      </c>
      <c r="G115" s="12">
        <v>5.5999999999999996</v>
      </c>
      <c r="H115" s="90"/>
      <c r="I115" s="12">
        <f t="shared" si="85"/>
        <v>66.470000000000013</v>
      </c>
      <c r="J115" s="12">
        <f t="shared" si="85"/>
        <v>1</v>
      </c>
      <c r="K115" s="90">
        <f t="shared" si="63"/>
        <v>0.015044380923724985</v>
      </c>
      <c r="L115" s="94">
        <v>8</v>
      </c>
      <c r="M115" s="95">
        <v>0</v>
      </c>
      <c r="N115" s="93">
        <f t="shared" si="82"/>
        <v>0</v>
      </c>
      <c r="O115" s="95">
        <v>2</v>
      </c>
      <c r="P115" s="95">
        <v>0</v>
      </c>
      <c r="Q115" s="93">
        <f>P115/O115*100%</f>
        <v>0</v>
      </c>
    </row>
    <row r="116" ht="15.75" hidden="1" customHeight="1" outlineLevel="1">
      <c r="A116" s="11"/>
      <c r="B116" s="11" t="s">
        <v>152</v>
      </c>
      <c r="C116" s="12">
        <f>34.04+12.07+61.27</f>
        <v>107.38</v>
      </c>
      <c r="D116" s="12">
        <f>0.1+5</f>
        <v>5.0999999999999996</v>
      </c>
      <c r="E116" s="90">
        <f t="shared" si="64"/>
        <v>0.047494878003352579</v>
      </c>
      <c r="F116" s="12"/>
      <c r="G116" s="12"/>
      <c r="H116" s="90"/>
      <c r="I116" s="12">
        <f t="shared" si="85"/>
        <v>107.38</v>
      </c>
      <c r="J116" s="12">
        <f t="shared" si="85"/>
        <v>5.0999999999999996</v>
      </c>
      <c r="K116" s="90">
        <f t="shared" si="63"/>
        <v>0.047494878003352579</v>
      </c>
      <c r="L116" s="94">
        <v>8</v>
      </c>
      <c r="M116" s="95">
        <v>0</v>
      </c>
      <c r="N116" s="93">
        <f t="shared" si="82"/>
        <v>0</v>
      </c>
      <c r="O116" s="95">
        <v>0</v>
      </c>
      <c r="P116" s="95">
        <v>0</v>
      </c>
      <c r="Q116" s="93">
        <v>0</v>
      </c>
    </row>
    <row r="117" ht="15.75" hidden="1" customHeight="1" outlineLevel="1">
      <c r="A117" s="11"/>
      <c r="B117" s="11" t="s">
        <v>153</v>
      </c>
      <c r="C117" s="12">
        <v>113.81999999999999</v>
      </c>
      <c r="D117" s="12">
        <v>6.5</v>
      </c>
      <c r="E117" s="90">
        <f t="shared" si="64"/>
        <v>0.057107713934282205</v>
      </c>
      <c r="F117" s="12"/>
      <c r="G117" s="12"/>
      <c r="H117" s="90"/>
      <c r="I117" s="12">
        <f t="shared" si="85"/>
        <v>113.81999999999999</v>
      </c>
      <c r="J117" s="12">
        <f t="shared" si="85"/>
        <v>6.5</v>
      </c>
      <c r="K117" s="90">
        <f t="shared" si="63"/>
        <v>0.057107713934282205</v>
      </c>
      <c r="L117" s="94">
        <v>7.5</v>
      </c>
      <c r="M117" s="95">
        <v>0</v>
      </c>
      <c r="N117" s="93">
        <f t="shared" si="82"/>
        <v>0</v>
      </c>
      <c r="O117" s="95">
        <v>0</v>
      </c>
      <c r="P117" s="95">
        <v>0</v>
      </c>
      <c r="Q117" s="93">
        <v>0</v>
      </c>
    </row>
    <row r="118" ht="15.75" hidden="1" customHeight="1" outlineLevel="1">
      <c r="A118" s="11"/>
      <c r="B118" s="11" t="s">
        <v>154</v>
      </c>
      <c r="C118" s="12">
        <v>113.68000000000001</v>
      </c>
      <c r="D118" s="12">
        <v>1</v>
      </c>
      <c r="E118" s="90">
        <f t="shared" si="64"/>
        <v>0.0087966220971147074</v>
      </c>
      <c r="F118" s="12"/>
      <c r="G118" s="12"/>
      <c r="H118" s="90"/>
      <c r="I118" s="12">
        <f t="shared" si="85"/>
        <v>113.68000000000001</v>
      </c>
      <c r="J118" s="12">
        <f t="shared" si="85"/>
        <v>1</v>
      </c>
      <c r="K118" s="90">
        <f t="shared" si="63"/>
        <v>0.0087966220971147074</v>
      </c>
      <c r="L118" s="94">
        <v>6</v>
      </c>
      <c r="M118" s="95">
        <v>1</v>
      </c>
      <c r="N118" s="93">
        <f t="shared" si="82"/>
        <v>0.16666666666666666</v>
      </c>
      <c r="O118" s="95">
        <v>1</v>
      </c>
      <c r="P118" s="95">
        <v>0</v>
      </c>
      <c r="Q118" s="93">
        <f>P118/O118*100%</f>
        <v>0</v>
      </c>
    </row>
    <row r="119" ht="15.75" hidden="1" customHeight="1" outlineLevel="1">
      <c r="A119" s="11"/>
      <c r="B119" s="11" t="s">
        <v>155</v>
      </c>
      <c r="C119" s="12">
        <f>17.69+2.67+5.49+3.18+3+31.18+10.1</f>
        <v>73.310000000000002</v>
      </c>
      <c r="D119" s="12">
        <v>2.5</v>
      </c>
      <c r="E119" s="90">
        <f t="shared" si="64"/>
        <v>0.03410175965079798</v>
      </c>
      <c r="F119" s="12"/>
      <c r="G119" s="12"/>
      <c r="H119" s="90"/>
      <c r="I119" s="12">
        <f t="shared" si="85"/>
        <v>73.310000000000002</v>
      </c>
      <c r="J119" s="12">
        <f t="shared" si="85"/>
        <v>2.5</v>
      </c>
      <c r="K119" s="90">
        <f t="shared" si="63"/>
        <v>0.03410175965079798</v>
      </c>
      <c r="L119" s="94">
        <v>0.40000000000000002</v>
      </c>
      <c r="M119" s="95">
        <v>0</v>
      </c>
      <c r="N119" s="93">
        <f t="shared" si="82"/>
        <v>0</v>
      </c>
      <c r="O119" s="95">
        <v>0</v>
      </c>
      <c r="P119" s="95">
        <v>0</v>
      </c>
      <c r="Q119" s="93">
        <v>0</v>
      </c>
    </row>
    <row r="120" ht="15.75" hidden="1" customHeight="1" outlineLevel="1">
      <c r="A120" s="11"/>
      <c r="B120" s="11" t="s">
        <v>156</v>
      </c>
      <c r="C120" s="12">
        <f>31.49+1.77+8.75+44.34</f>
        <v>86.349999999999994</v>
      </c>
      <c r="D120" s="12">
        <v>0</v>
      </c>
      <c r="E120" s="90">
        <f t="shared" si="64"/>
        <v>0</v>
      </c>
      <c r="F120" s="96"/>
      <c r="G120" s="12"/>
      <c r="H120" s="90"/>
      <c r="I120" s="12">
        <f t="shared" si="85"/>
        <v>86.349999999999994</v>
      </c>
      <c r="J120" s="12">
        <f t="shared" si="85"/>
        <v>0</v>
      </c>
      <c r="K120" s="90">
        <f t="shared" si="63"/>
        <v>0</v>
      </c>
      <c r="L120" s="94">
        <v>7</v>
      </c>
      <c r="M120" s="95">
        <v>0</v>
      </c>
      <c r="N120" s="93">
        <f t="shared" si="82"/>
        <v>0</v>
      </c>
      <c r="O120" s="95">
        <v>0</v>
      </c>
      <c r="P120" s="95">
        <v>0</v>
      </c>
      <c r="Q120" s="93">
        <v>0</v>
      </c>
    </row>
    <row r="121" ht="15.75" customHeight="1" collapsed="1">
      <c r="A121" s="97" t="s">
        <v>169</v>
      </c>
      <c r="B121" s="97" t="s">
        <v>148</v>
      </c>
      <c r="C121" s="98">
        <f t="shared" ref="C121:D121" si="86">SUM(C122:C129)</f>
        <v>730.3416666666667</v>
      </c>
      <c r="D121" s="99">
        <f t="shared" si="86"/>
        <v>164.48500000000001</v>
      </c>
      <c r="E121" s="100">
        <f t="shared" si="64"/>
        <v>0.22521650825526865</v>
      </c>
      <c r="F121" s="89" t="e">
        <f t="shared" si="77"/>
        <v>#NUM!</v>
      </c>
      <c r="G121" s="89">
        <f t="shared" si="77"/>
        <v>11.225</v>
      </c>
      <c r="H121" s="90" t="e">
        <f t="shared" ref="H121:H184" si="87">G121/F121*100%</f>
        <v>#NUM!</v>
      </c>
      <c r="I121" s="99" t="e">
        <f t="shared" ref="I121:J121" si="88">SUM(I122:I129)</f>
        <v>#NUM!</v>
      </c>
      <c r="J121" s="99">
        <f t="shared" si="88"/>
        <v>153.26000000000002</v>
      </c>
      <c r="K121" s="100" t="e">
        <f t="shared" si="63"/>
        <v>#NUM!</v>
      </c>
      <c r="L121" s="113">
        <f t="shared" si="79"/>
        <v>37.643333333333331</v>
      </c>
      <c r="M121" s="102">
        <f t="shared" si="79"/>
        <v>15</v>
      </c>
      <c r="N121" s="103">
        <f t="shared" si="82"/>
        <v>0.39847693261312322</v>
      </c>
      <c r="O121" s="104">
        <f t="shared" si="80"/>
        <v>2.8333333333333335</v>
      </c>
      <c r="P121" s="102">
        <f t="shared" si="80"/>
        <v>3</v>
      </c>
      <c r="Q121" s="103">
        <f>P121/O121*100%</f>
        <v>1.0588235294117647</v>
      </c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</row>
    <row r="122" ht="15.75" hidden="1" customHeight="1" outlineLevel="1">
      <c r="A122" s="97"/>
      <c r="B122" s="106" t="s">
        <v>149</v>
      </c>
      <c r="C122" s="107">
        <f>AVERAGE(C68,C86,C77,C95,C104,C113)</f>
        <v>108.66666666666667</v>
      </c>
      <c r="D122" s="108">
        <f>D113+D104+D95+D86+D77+D68</f>
        <v>38</v>
      </c>
      <c r="E122" s="100">
        <f t="shared" si="64"/>
        <v>0.34969325153374231</v>
      </c>
      <c r="F122" s="107" t="e">
        <f>AVERAGE(F68,F86,F77,F95,F104,F113)</f>
        <v>#NUM!</v>
      </c>
      <c r="G122" s="108">
        <f>G113+G104+G95+G86+G77+G68</f>
        <v>0</v>
      </c>
      <c r="H122" s="100" t="e">
        <f t="shared" si="87"/>
        <v>#NUM!</v>
      </c>
      <c r="I122" s="108" t="e">
        <f t="shared" ref="I122:J129" si="89">C122-F122</f>
        <v>#NUM!</v>
      </c>
      <c r="J122" s="108">
        <f t="shared" si="89"/>
        <v>38</v>
      </c>
      <c r="K122" s="100" t="e">
        <f t="shared" si="63"/>
        <v>#NUM!</v>
      </c>
      <c r="L122" s="109">
        <f t="shared" ref="L122:L129" si="90">AVERAGE(L68,L86,L77,L95,L104,L113)</f>
        <v>4</v>
      </c>
      <c r="M122" s="110">
        <f t="shared" ref="M122:M129" si="91">M113+M104+M95+M86+M77+M68</f>
        <v>1</v>
      </c>
      <c r="N122" s="103">
        <f t="shared" si="82"/>
        <v>0.25</v>
      </c>
      <c r="O122" s="111">
        <f t="shared" ref="O122:O129" si="92">AVERAGE(O68,O86,O77,O95,O104,O113)</f>
        <v>0</v>
      </c>
      <c r="P122" s="110">
        <f t="shared" ref="P122:P129" si="93">P113+P104+P95+P86+P77+P68</f>
        <v>0</v>
      </c>
      <c r="Q122" s="103">
        <v>0</v>
      </c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</row>
    <row r="123" ht="15.75" hidden="1" customHeight="1" outlineLevel="1">
      <c r="A123" s="97"/>
      <c r="B123" s="106" t="s">
        <v>150</v>
      </c>
      <c r="C123" s="107"/>
      <c r="D123" s="108"/>
      <c r="E123" s="100"/>
      <c r="F123" s="107"/>
      <c r="G123" s="108"/>
      <c r="H123" s="100"/>
      <c r="I123" s="108"/>
      <c r="J123" s="108"/>
      <c r="K123" s="100"/>
      <c r="L123" s="109">
        <f t="shared" si="90"/>
        <v>0</v>
      </c>
      <c r="M123" s="110">
        <f t="shared" si="91"/>
        <v>0</v>
      </c>
      <c r="N123" s="103">
        <v>0</v>
      </c>
      <c r="O123" s="111">
        <f t="shared" si="92"/>
        <v>0</v>
      </c>
      <c r="P123" s="110">
        <f t="shared" si="93"/>
        <v>0</v>
      </c>
      <c r="Q123" s="103">
        <v>0</v>
      </c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</row>
    <row r="124" ht="15.75" hidden="1" customHeight="1" outlineLevel="1">
      <c r="A124" s="97"/>
      <c r="B124" s="106" t="s">
        <v>151</v>
      </c>
      <c r="C124" s="107">
        <f t="shared" ref="C124:C129" si="94">AVERAGE(C70,C88,C79,C97,C106,C115)</f>
        <v>134.70666666666668</v>
      </c>
      <c r="D124" s="108">
        <f t="shared" ref="D124:D129" si="95">D115+D106+D97+D88+D79+D70</f>
        <v>25.825000000000003</v>
      </c>
      <c r="E124" s="100">
        <f t="shared" ref="E124:E187" si="96">D124/C124*100%</f>
        <v>0.1917128575670593</v>
      </c>
      <c r="F124" s="107">
        <f>AVERAGE(F205,F88,F79,F97,F106,F115)</f>
        <v>68.335999999999999</v>
      </c>
      <c r="G124" s="108">
        <f>G115+G106+G97+G88+G79+G205</f>
        <v>11.225</v>
      </c>
      <c r="H124" s="100">
        <f t="shared" si="87"/>
        <v>0.1642618824631234</v>
      </c>
      <c r="I124" s="107">
        <f t="shared" si="89"/>
        <v>66.370666666666679</v>
      </c>
      <c r="J124" s="108">
        <f t="shared" si="89"/>
        <v>14.600000000000003</v>
      </c>
      <c r="K124" s="100">
        <f t="shared" ref="K124:K187" si="97">J124/I124*100%</f>
        <v>0.21997669653260477</v>
      </c>
      <c r="L124" s="109">
        <f t="shared" si="90"/>
        <v>7.3199999999999994</v>
      </c>
      <c r="M124" s="110">
        <f t="shared" si="91"/>
        <v>8</v>
      </c>
      <c r="N124" s="103">
        <f t="shared" si="82"/>
        <v>1.0928961748633881</v>
      </c>
      <c r="O124" s="111">
        <f t="shared" si="92"/>
        <v>2</v>
      </c>
      <c r="P124" s="110">
        <f t="shared" si="93"/>
        <v>1</v>
      </c>
      <c r="Q124" s="103">
        <f>P124/O124*100%</f>
        <v>0.5</v>
      </c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</row>
    <row r="125" ht="15.75" hidden="1" customHeight="1" outlineLevel="1">
      <c r="A125" s="97"/>
      <c r="B125" s="106" t="s">
        <v>152</v>
      </c>
      <c r="C125" s="107">
        <f t="shared" si="94"/>
        <v>106.87</v>
      </c>
      <c r="D125" s="108">
        <f t="shared" si="95"/>
        <v>17.140000000000001</v>
      </c>
      <c r="E125" s="100">
        <f t="shared" si="96"/>
        <v>0.16038177224665481</v>
      </c>
      <c r="F125" s="107" t="e">
        <f t="shared" ref="F125:F128" si="98">AVERAGE(F71,F89,F80,F98,F107,F116)</f>
        <v>#NUM!</v>
      </c>
      <c r="G125" s="108">
        <f t="shared" ref="G125:G129" si="99">G116+G107+G98+G89+G80+G71</f>
        <v>0</v>
      </c>
      <c r="H125" s="100" t="e">
        <f t="shared" si="87"/>
        <v>#NUM!</v>
      </c>
      <c r="I125" s="108" t="e">
        <f t="shared" si="89"/>
        <v>#NUM!</v>
      </c>
      <c r="J125" s="108">
        <f t="shared" si="89"/>
        <v>17.140000000000001</v>
      </c>
      <c r="K125" s="100" t="e">
        <f t="shared" si="97"/>
        <v>#NUM!</v>
      </c>
      <c r="L125" s="109">
        <f t="shared" si="90"/>
        <v>7.8533333333333326</v>
      </c>
      <c r="M125" s="110">
        <f t="shared" si="91"/>
        <v>2</v>
      </c>
      <c r="N125" s="103">
        <f t="shared" si="82"/>
        <v>0.25466893039049238</v>
      </c>
      <c r="O125" s="111">
        <f t="shared" si="92"/>
        <v>0</v>
      </c>
      <c r="P125" s="110">
        <f t="shared" si="93"/>
        <v>0</v>
      </c>
      <c r="Q125" s="103">
        <v>0</v>
      </c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105"/>
      <c r="AF125" s="105"/>
      <c r="AG125" s="105"/>
    </row>
    <row r="126" ht="15.75" hidden="1" customHeight="1" outlineLevel="1">
      <c r="A126" s="97"/>
      <c r="B126" s="106" t="s">
        <v>153</v>
      </c>
      <c r="C126" s="107">
        <f t="shared" si="94"/>
        <v>107.33833333333332</v>
      </c>
      <c r="D126" s="108">
        <f t="shared" si="95"/>
        <v>29</v>
      </c>
      <c r="E126" s="100">
        <f t="shared" si="96"/>
        <v>0.27017374967004643</v>
      </c>
      <c r="F126" s="107" t="e">
        <f t="shared" si="98"/>
        <v>#NUM!</v>
      </c>
      <c r="G126" s="108">
        <f t="shared" si="99"/>
        <v>0</v>
      </c>
      <c r="H126" s="100" t="e">
        <f t="shared" si="87"/>
        <v>#NUM!</v>
      </c>
      <c r="I126" s="108" t="e">
        <f t="shared" si="89"/>
        <v>#NUM!</v>
      </c>
      <c r="J126" s="108">
        <f t="shared" si="89"/>
        <v>29</v>
      </c>
      <c r="K126" s="100" t="e">
        <f t="shared" si="97"/>
        <v>#NUM!</v>
      </c>
      <c r="L126" s="109">
        <f t="shared" si="90"/>
        <v>5.5483333333333329</v>
      </c>
      <c r="M126" s="110">
        <f t="shared" si="91"/>
        <v>1</v>
      </c>
      <c r="N126" s="103">
        <f t="shared" si="82"/>
        <v>0.18023430459597478</v>
      </c>
      <c r="O126" s="111">
        <f t="shared" si="92"/>
        <v>0.5</v>
      </c>
      <c r="P126" s="110">
        <f t="shared" si="93"/>
        <v>1</v>
      </c>
      <c r="Q126" s="103">
        <v>0</v>
      </c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05"/>
      <c r="AG126" s="105"/>
    </row>
    <row r="127" ht="15.75" hidden="1" customHeight="1" outlineLevel="1">
      <c r="A127" s="97"/>
      <c r="B127" s="106" t="s">
        <v>154</v>
      </c>
      <c r="C127" s="107">
        <f t="shared" si="94"/>
        <v>114.15000000000002</v>
      </c>
      <c r="D127" s="108">
        <f t="shared" si="95"/>
        <v>16</v>
      </c>
      <c r="E127" s="100">
        <f t="shared" si="96"/>
        <v>0.14016644765659217</v>
      </c>
      <c r="F127" s="107" t="e">
        <f t="shared" si="98"/>
        <v>#NUM!</v>
      </c>
      <c r="G127" s="108">
        <f t="shared" si="99"/>
        <v>0</v>
      </c>
      <c r="H127" s="100" t="e">
        <f t="shared" si="87"/>
        <v>#NUM!</v>
      </c>
      <c r="I127" s="108" t="e">
        <f t="shared" si="89"/>
        <v>#NUM!</v>
      </c>
      <c r="J127" s="108">
        <f t="shared" si="89"/>
        <v>16</v>
      </c>
      <c r="K127" s="100" t="e">
        <f t="shared" si="97"/>
        <v>#NUM!</v>
      </c>
      <c r="L127" s="109">
        <f t="shared" si="90"/>
        <v>5.5883333333333338</v>
      </c>
      <c r="M127" s="110">
        <f t="shared" si="91"/>
        <v>2</v>
      </c>
      <c r="N127" s="103">
        <f t="shared" si="82"/>
        <v>0.35788845809722636</v>
      </c>
      <c r="O127" s="111">
        <f t="shared" si="92"/>
        <v>0.33333333333333331</v>
      </c>
      <c r="P127" s="110">
        <f t="shared" si="93"/>
        <v>1</v>
      </c>
      <c r="Q127" s="103">
        <f t="shared" ref="Q127:Q190" si="100">P127/O127*100%</f>
        <v>3</v>
      </c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</row>
    <row r="128" ht="15.75" hidden="1" customHeight="1" outlineLevel="1">
      <c r="A128" s="97"/>
      <c r="B128" s="106" t="s">
        <v>155</v>
      </c>
      <c r="C128" s="107">
        <f t="shared" si="94"/>
        <v>74.028333333333336</v>
      </c>
      <c r="D128" s="108">
        <f t="shared" si="95"/>
        <v>18.550000000000001</v>
      </c>
      <c r="E128" s="100">
        <f t="shared" si="96"/>
        <v>0.25057973298511832</v>
      </c>
      <c r="F128" s="107" t="e">
        <f t="shared" si="98"/>
        <v>#NUM!</v>
      </c>
      <c r="G128" s="108">
        <f t="shared" si="99"/>
        <v>0</v>
      </c>
      <c r="H128" s="100" t="e">
        <f t="shared" si="87"/>
        <v>#NUM!</v>
      </c>
      <c r="I128" s="108" t="e">
        <f t="shared" si="89"/>
        <v>#NUM!</v>
      </c>
      <c r="J128" s="108">
        <f t="shared" si="89"/>
        <v>18.550000000000001</v>
      </c>
      <c r="K128" s="100" t="e">
        <f t="shared" si="97"/>
        <v>#NUM!</v>
      </c>
      <c r="L128" s="109">
        <f t="shared" si="90"/>
        <v>0.76666666666666672</v>
      </c>
      <c r="M128" s="110">
        <f t="shared" si="91"/>
        <v>1</v>
      </c>
      <c r="N128" s="103">
        <f t="shared" si="82"/>
        <v>1.3043478260869565</v>
      </c>
      <c r="O128" s="111">
        <f t="shared" si="92"/>
        <v>0</v>
      </c>
      <c r="P128" s="110">
        <f t="shared" si="93"/>
        <v>0</v>
      </c>
      <c r="Q128" s="103" t="e">
        <f t="shared" si="100"/>
        <v>#DIV/0!</v>
      </c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</row>
    <row r="129" ht="15.75" hidden="1" customHeight="1" outlineLevel="1">
      <c r="A129" s="97"/>
      <c r="B129" s="106" t="s">
        <v>156</v>
      </c>
      <c r="C129" s="107">
        <f t="shared" si="94"/>
        <v>84.581666666666663</v>
      </c>
      <c r="D129" s="108">
        <f t="shared" si="95"/>
        <v>19.969999999999999</v>
      </c>
      <c r="E129" s="100">
        <f t="shared" si="96"/>
        <v>0.23610317444678713</v>
      </c>
      <c r="F129" s="107" t="e">
        <f>AVERAGE(F74,F93,F84,F102,F111,F120)</f>
        <v>#NUM!</v>
      </c>
      <c r="G129" s="108">
        <f t="shared" si="99"/>
        <v>0</v>
      </c>
      <c r="H129" s="100" t="e">
        <f t="shared" si="87"/>
        <v>#NUM!</v>
      </c>
      <c r="I129" s="108" t="e">
        <f t="shared" si="89"/>
        <v>#NUM!</v>
      </c>
      <c r="J129" s="108">
        <f t="shared" si="89"/>
        <v>19.969999999999999</v>
      </c>
      <c r="K129" s="100" t="e">
        <f t="shared" si="97"/>
        <v>#NUM!</v>
      </c>
      <c r="L129" s="109">
        <f t="shared" si="90"/>
        <v>6.5666666666666664</v>
      </c>
      <c r="M129" s="110">
        <f t="shared" si="91"/>
        <v>0</v>
      </c>
      <c r="N129" s="103">
        <f t="shared" si="82"/>
        <v>0</v>
      </c>
      <c r="O129" s="111">
        <f t="shared" si="92"/>
        <v>0</v>
      </c>
      <c r="P129" s="110">
        <f t="shared" si="93"/>
        <v>0</v>
      </c>
      <c r="Q129" s="103" t="e">
        <f t="shared" si="100"/>
        <v>#DIV/0!</v>
      </c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</row>
    <row r="130" ht="15.75" customHeight="1" collapsed="1">
      <c r="A130" s="114" t="s">
        <v>170</v>
      </c>
      <c r="B130" s="114" t="s">
        <v>148</v>
      </c>
      <c r="C130" s="115">
        <f t="shared" ref="C130:D130" si="101">SUM(C131:C138)</f>
        <v>757.91166666666675</v>
      </c>
      <c r="D130" s="116">
        <f t="shared" si="101"/>
        <v>377.49999999999994</v>
      </c>
      <c r="E130" s="117">
        <f t="shared" si="96"/>
        <v>0.49807915170413425</v>
      </c>
      <c r="F130" s="115" t="e">
        <f t="shared" ref="F130:G130" si="102">SUM(F131:F138)</f>
        <v>#NUM!</v>
      </c>
      <c r="G130" s="116">
        <f t="shared" si="102"/>
        <v>24.825000000000003</v>
      </c>
      <c r="H130" s="117" t="e">
        <f t="shared" si="87"/>
        <v>#NUM!</v>
      </c>
      <c r="I130" s="116" t="e">
        <f t="shared" ref="I130:J130" si="103">SUM(I131:I138)</f>
        <v>#NUM!</v>
      </c>
      <c r="J130" s="116">
        <f t="shared" si="103"/>
        <v>352.67499999999995</v>
      </c>
      <c r="K130" s="100" t="e">
        <f t="shared" si="97"/>
        <v>#NUM!</v>
      </c>
      <c r="L130" s="118">
        <f t="shared" ref="L130:M130" si="104">SUM(L131:L138)</f>
        <v>40.397500000000001</v>
      </c>
      <c r="M130" s="119">
        <f t="shared" si="104"/>
        <v>36.5</v>
      </c>
      <c r="N130" s="120">
        <f t="shared" si="82"/>
        <v>0.90352125750355838</v>
      </c>
      <c r="O130" s="121">
        <f t="shared" ref="O130:P130" si="105">SUM(O131:O138)</f>
        <v>4.0166666666666675</v>
      </c>
      <c r="P130" s="119">
        <f t="shared" si="105"/>
        <v>8.5</v>
      </c>
      <c r="Q130" s="120">
        <f t="shared" si="100"/>
        <v>2.1161825726141075</v>
      </c>
      <c r="R130" s="122" t="s">
        <v>171</v>
      </c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</row>
    <row r="131" ht="15.75" hidden="1" customHeight="1" outlineLevel="1">
      <c r="A131" s="114"/>
      <c r="B131" s="123" t="s">
        <v>149</v>
      </c>
      <c r="C131" s="124">
        <f>AVERAGE(C59,C122)</f>
        <v>121</v>
      </c>
      <c r="D131" s="125">
        <f>D59+D122</f>
        <v>88</v>
      </c>
      <c r="E131" s="117">
        <f t="shared" si="96"/>
        <v>0.72727272727272729</v>
      </c>
      <c r="F131" s="125" t="e">
        <f>AVERAGE(F59,F122)</f>
        <v>#NUM!</v>
      </c>
      <c r="G131" s="125">
        <f>G59+G122</f>
        <v>0</v>
      </c>
      <c r="H131" s="117" t="e">
        <f t="shared" si="87"/>
        <v>#NUM!</v>
      </c>
      <c r="I131" s="125" t="e">
        <f t="shared" ref="I131:J138" si="106">C131-F131</f>
        <v>#NUM!</v>
      </c>
      <c r="J131" s="125">
        <f t="shared" si="106"/>
        <v>88</v>
      </c>
      <c r="K131" s="100" t="e">
        <f t="shared" si="97"/>
        <v>#NUM!</v>
      </c>
      <c r="L131" s="126">
        <f t="shared" ref="L131:L138" si="107">AVERAGE(L59,L122)</f>
        <v>5</v>
      </c>
      <c r="M131" s="127">
        <f t="shared" ref="M131:M138" si="108">M59+M122</f>
        <v>6</v>
      </c>
      <c r="N131" s="120">
        <f t="shared" si="82"/>
        <v>1.2</v>
      </c>
      <c r="O131" s="128">
        <f t="shared" ref="O131:O138" si="109">AVERAGE(O59,O122)</f>
        <v>0</v>
      </c>
      <c r="P131" s="127">
        <f t="shared" ref="P131:P138" si="110">P59+P122</f>
        <v>0</v>
      </c>
      <c r="Q131" s="120" t="e">
        <f t="shared" si="100"/>
        <v>#DIV/0!</v>
      </c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</row>
    <row r="132" ht="15.75" hidden="1" customHeight="1" outlineLevel="1">
      <c r="A132" s="114"/>
      <c r="B132" s="123" t="s">
        <v>150</v>
      </c>
      <c r="C132" s="125"/>
      <c r="D132" s="125"/>
      <c r="E132" s="117"/>
      <c r="F132" s="125"/>
      <c r="G132" s="125"/>
      <c r="H132" s="117"/>
      <c r="I132" s="125"/>
      <c r="J132" s="125"/>
      <c r="K132" s="100"/>
      <c r="L132" s="126">
        <f t="shared" si="107"/>
        <v>0</v>
      </c>
      <c r="M132" s="127">
        <f t="shared" si="108"/>
        <v>0</v>
      </c>
      <c r="N132" s="120" t="e">
        <f t="shared" si="82"/>
        <v>#DIV/0!</v>
      </c>
      <c r="O132" s="128">
        <f t="shared" si="109"/>
        <v>0</v>
      </c>
      <c r="P132" s="127">
        <f t="shared" si="110"/>
        <v>0</v>
      </c>
      <c r="Q132" s="120" t="e">
        <f t="shared" si="100"/>
        <v>#DIV/0!</v>
      </c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</row>
    <row r="133" ht="15.75" hidden="1" customHeight="1" outlineLevel="1">
      <c r="A133" s="114"/>
      <c r="B133" s="123" t="s">
        <v>151</v>
      </c>
      <c r="C133" s="124">
        <f t="shared" ref="C133:C138" si="111">AVERAGE(C61,C124)</f>
        <v>138.82833333333335</v>
      </c>
      <c r="D133" s="125">
        <f t="shared" ref="D133:D138" si="112">D61+D124</f>
        <v>50.100000000000001</v>
      </c>
      <c r="E133" s="117">
        <f t="shared" si="96"/>
        <v>0.36087734252133929</v>
      </c>
      <c r="F133" s="124">
        <f t="shared" ref="F133:F138" si="113">AVERAGE(F61,F124)</f>
        <v>70.587166666666661</v>
      </c>
      <c r="G133" s="125">
        <f t="shared" ref="G133:G138" si="114">G61+G124</f>
        <v>24.825000000000003</v>
      </c>
      <c r="H133" s="117">
        <f t="shared" si="87"/>
        <v>0.35169282423858922</v>
      </c>
      <c r="I133" s="124">
        <f t="shared" si="106"/>
        <v>68.241166666666686</v>
      </c>
      <c r="J133" s="125">
        <f t="shared" si="106"/>
        <v>25.274999999999999</v>
      </c>
      <c r="K133" s="100">
        <f t="shared" si="97"/>
        <v>0.37037760686975346</v>
      </c>
      <c r="L133" s="126">
        <f t="shared" si="107"/>
        <v>7.6166666666666671</v>
      </c>
      <c r="M133" s="127">
        <f t="shared" si="108"/>
        <v>8.5</v>
      </c>
      <c r="N133" s="120">
        <f t="shared" si="82"/>
        <v>1.1159737417943107</v>
      </c>
      <c r="O133" s="128">
        <f t="shared" si="109"/>
        <v>2.666666666666667</v>
      </c>
      <c r="P133" s="127">
        <f t="shared" si="110"/>
        <v>4</v>
      </c>
      <c r="Q133" s="120">
        <f t="shared" si="100"/>
        <v>1.4999999999999998</v>
      </c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</row>
    <row r="134" ht="15.75" hidden="1" customHeight="1" outlineLevel="1">
      <c r="A134" s="114"/>
      <c r="B134" s="123" t="s">
        <v>152</v>
      </c>
      <c r="C134" s="124">
        <f t="shared" si="111"/>
        <v>107.6225</v>
      </c>
      <c r="D134" s="125">
        <f t="shared" si="112"/>
        <v>41.299999999999997</v>
      </c>
      <c r="E134" s="117">
        <f t="shared" si="96"/>
        <v>0.38374875142279724</v>
      </c>
      <c r="F134" s="125" t="e">
        <f t="shared" si="113"/>
        <v>#NUM!</v>
      </c>
      <c r="G134" s="125">
        <f t="shared" si="114"/>
        <v>0</v>
      </c>
      <c r="H134" s="117" t="e">
        <f t="shared" si="87"/>
        <v>#NUM!</v>
      </c>
      <c r="I134" s="125" t="e">
        <f t="shared" si="106"/>
        <v>#NUM!</v>
      </c>
      <c r="J134" s="125">
        <f t="shared" si="106"/>
        <v>41.299999999999997</v>
      </c>
      <c r="K134" s="100" t="e">
        <f t="shared" si="97"/>
        <v>#NUM!</v>
      </c>
      <c r="L134" s="126">
        <f t="shared" si="107"/>
        <v>8.100833333333334</v>
      </c>
      <c r="M134" s="127">
        <f t="shared" si="108"/>
        <v>7</v>
      </c>
      <c r="N134" s="120">
        <f t="shared" si="82"/>
        <v>0.86410863079930045</v>
      </c>
      <c r="O134" s="128">
        <f t="shared" si="109"/>
        <v>0</v>
      </c>
      <c r="P134" s="127">
        <f t="shared" si="110"/>
        <v>0</v>
      </c>
      <c r="Q134" s="120">
        <v>0</v>
      </c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</row>
    <row r="135" ht="15.75" hidden="1" customHeight="1" outlineLevel="1">
      <c r="A135" s="114"/>
      <c r="B135" s="123" t="s">
        <v>153</v>
      </c>
      <c r="C135" s="124">
        <f t="shared" si="111"/>
        <v>110.08583333333333</v>
      </c>
      <c r="D135" s="125">
        <f t="shared" si="112"/>
        <v>71.879999999999995</v>
      </c>
      <c r="E135" s="117">
        <f t="shared" si="96"/>
        <v>0.65294505045305562</v>
      </c>
      <c r="F135" s="125" t="e">
        <f t="shared" si="113"/>
        <v>#NUM!</v>
      </c>
      <c r="G135" s="125">
        <f t="shared" si="114"/>
        <v>0</v>
      </c>
      <c r="H135" s="117" t="e">
        <f t="shared" si="87"/>
        <v>#NUM!</v>
      </c>
      <c r="I135" s="125" t="e">
        <f t="shared" si="106"/>
        <v>#NUM!</v>
      </c>
      <c r="J135" s="125">
        <f t="shared" si="106"/>
        <v>71.879999999999995</v>
      </c>
      <c r="K135" s="100" t="e">
        <f t="shared" si="97"/>
        <v>#NUM!</v>
      </c>
      <c r="L135" s="126">
        <f t="shared" si="107"/>
        <v>5.8741666666666665</v>
      </c>
      <c r="M135" s="127">
        <f t="shared" si="108"/>
        <v>6</v>
      </c>
      <c r="N135" s="120">
        <f t="shared" si="82"/>
        <v>1.0214214782238615</v>
      </c>
      <c r="O135" s="128">
        <f t="shared" si="109"/>
        <v>0.30833333333333335</v>
      </c>
      <c r="P135" s="127">
        <f t="shared" si="110"/>
        <v>1</v>
      </c>
      <c r="Q135" s="120">
        <f t="shared" si="100"/>
        <v>3.243243243243243</v>
      </c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</row>
    <row r="136" ht="15.75" hidden="1" customHeight="1" outlineLevel="1">
      <c r="A136" s="114"/>
      <c r="B136" s="123" t="s">
        <v>154</v>
      </c>
      <c r="C136" s="124">
        <f t="shared" si="111"/>
        <v>117.1825</v>
      </c>
      <c r="D136" s="125">
        <f t="shared" si="112"/>
        <v>40</v>
      </c>
      <c r="E136" s="117">
        <f t="shared" si="96"/>
        <v>0.34134789751029376</v>
      </c>
      <c r="F136" s="125" t="e">
        <f t="shared" si="113"/>
        <v>#NUM!</v>
      </c>
      <c r="G136" s="125">
        <f t="shared" si="114"/>
        <v>0</v>
      </c>
      <c r="H136" s="117" t="e">
        <f t="shared" si="87"/>
        <v>#NUM!</v>
      </c>
      <c r="I136" s="125" t="e">
        <f t="shared" si="106"/>
        <v>#NUM!</v>
      </c>
      <c r="J136" s="125">
        <f t="shared" si="106"/>
        <v>40</v>
      </c>
      <c r="K136" s="100" t="e">
        <f t="shared" si="97"/>
        <v>#NUM!</v>
      </c>
      <c r="L136" s="126">
        <f t="shared" si="107"/>
        <v>6.0333333333333332</v>
      </c>
      <c r="M136" s="127">
        <f t="shared" si="108"/>
        <v>5</v>
      </c>
      <c r="N136" s="120">
        <f t="shared" si="82"/>
        <v>0.82872928176795579</v>
      </c>
      <c r="O136" s="128">
        <f t="shared" si="109"/>
        <v>0.66666666666666663</v>
      </c>
      <c r="P136" s="127">
        <f t="shared" si="110"/>
        <v>1</v>
      </c>
      <c r="Q136" s="120">
        <f t="shared" si="100"/>
        <v>1.5</v>
      </c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</row>
    <row r="137" ht="15.75" hidden="1" customHeight="1" outlineLevel="1">
      <c r="A137" s="114"/>
      <c r="B137" s="123" t="s">
        <v>155</v>
      </c>
      <c r="C137" s="124">
        <f t="shared" si="111"/>
        <v>75.952500000000001</v>
      </c>
      <c r="D137" s="125">
        <f t="shared" si="112"/>
        <v>38.450000000000003</v>
      </c>
      <c r="E137" s="117">
        <f t="shared" si="96"/>
        <v>0.50623745103847806</v>
      </c>
      <c r="F137" s="125" t="e">
        <f t="shared" si="113"/>
        <v>#NUM!</v>
      </c>
      <c r="G137" s="125">
        <f t="shared" si="114"/>
        <v>0</v>
      </c>
      <c r="H137" s="117" t="e">
        <f t="shared" si="87"/>
        <v>#NUM!</v>
      </c>
      <c r="I137" s="125" t="e">
        <f t="shared" si="106"/>
        <v>#NUM!</v>
      </c>
      <c r="J137" s="125">
        <f t="shared" si="106"/>
        <v>38.450000000000003</v>
      </c>
      <c r="K137" s="100" t="e">
        <f t="shared" si="97"/>
        <v>#NUM!</v>
      </c>
      <c r="L137" s="126">
        <f t="shared" si="107"/>
        <v>1.0625</v>
      </c>
      <c r="M137" s="127">
        <f t="shared" si="108"/>
        <v>2</v>
      </c>
      <c r="N137" s="120">
        <f t="shared" si="82"/>
        <v>1.8823529411764706</v>
      </c>
      <c r="O137" s="128">
        <f t="shared" si="109"/>
        <v>0</v>
      </c>
      <c r="P137" s="127">
        <f t="shared" si="110"/>
        <v>0</v>
      </c>
      <c r="Q137" s="120" t="e">
        <f t="shared" si="100"/>
        <v>#DIV/0!</v>
      </c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</row>
    <row r="138" ht="15.75" hidden="1" customHeight="1" outlineLevel="1">
      <c r="A138" s="114"/>
      <c r="B138" s="123" t="s">
        <v>156</v>
      </c>
      <c r="C138" s="124">
        <f t="shared" si="111"/>
        <v>87.239999999999995</v>
      </c>
      <c r="D138" s="125">
        <f t="shared" si="112"/>
        <v>47.769999999999996</v>
      </c>
      <c r="E138" s="117">
        <f t="shared" si="96"/>
        <v>0.5475699220541036</v>
      </c>
      <c r="F138" s="125" t="e">
        <f t="shared" si="113"/>
        <v>#NUM!</v>
      </c>
      <c r="G138" s="125">
        <f t="shared" si="114"/>
        <v>0</v>
      </c>
      <c r="H138" s="117" t="e">
        <f t="shared" si="87"/>
        <v>#NUM!</v>
      </c>
      <c r="I138" s="125" t="e">
        <f t="shared" si="106"/>
        <v>#NUM!</v>
      </c>
      <c r="J138" s="125">
        <f t="shared" si="106"/>
        <v>47.769999999999996</v>
      </c>
      <c r="K138" s="100" t="e">
        <f t="shared" si="97"/>
        <v>#NUM!</v>
      </c>
      <c r="L138" s="126">
        <f t="shared" si="107"/>
        <v>6.7099999999999991</v>
      </c>
      <c r="M138" s="127">
        <f t="shared" si="108"/>
        <v>2</v>
      </c>
      <c r="N138" s="120">
        <f t="shared" si="82"/>
        <v>0.29806259314456041</v>
      </c>
      <c r="O138" s="128">
        <f t="shared" si="109"/>
        <v>0.375</v>
      </c>
      <c r="P138" s="127">
        <f t="shared" si="110"/>
        <v>2.5</v>
      </c>
      <c r="Q138" s="120">
        <f t="shared" si="100"/>
        <v>6.666666666666667</v>
      </c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</row>
    <row r="139" ht="15.75" customHeight="1" collapsed="1">
      <c r="A139" s="88" t="s">
        <v>172</v>
      </c>
      <c r="B139" s="88" t="s">
        <v>148</v>
      </c>
      <c r="C139" s="89">
        <f t="shared" ref="C139:D139" si="115">SUM(C140:C147)</f>
        <v>749.72000000000003</v>
      </c>
      <c r="D139" s="89">
        <f t="shared" si="115"/>
        <v>24.050000000000001</v>
      </c>
      <c r="E139" s="90">
        <f t="shared" si="96"/>
        <v>0.032078642693272152</v>
      </c>
      <c r="F139" s="89">
        <f t="shared" ref="F139:G193" si="116">SUM(F140:F147)</f>
        <v>71.170000000000002</v>
      </c>
      <c r="G139" s="89">
        <f t="shared" si="116"/>
        <v>3</v>
      </c>
      <c r="H139" s="90">
        <f t="shared" si="87"/>
        <v>0.042152592384431642</v>
      </c>
      <c r="I139" s="89">
        <f t="shared" ref="I139:J139" si="117">SUM(I140:I147)</f>
        <v>678.54999999999995</v>
      </c>
      <c r="J139" s="89">
        <f t="shared" si="117"/>
        <v>21.050000000000001</v>
      </c>
      <c r="K139" s="90">
        <f t="shared" si="97"/>
        <v>0.031022032274703414</v>
      </c>
      <c r="L139" s="91">
        <f t="shared" ref="L139:M193" si="118">SUM(L140:L147)</f>
        <v>41.350000000000001</v>
      </c>
      <c r="M139" s="92">
        <f t="shared" si="118"/>
        <v>3</v>
      </c>
      <c r="N139" s="93">
        <f t="shared" si="82"/>
        <v>0.072551390568319218</v>
      </c>
      <c r="O139" s="92">
        <f t="shared" ref="O139:P193" si="119">SUM(O140:O147)</f>
        <v>4.1899999999999995</v>
      </c>
      <c r="P139" s="92">
        <f t="shared" si="119"/>
        <v>0</v>
      </c>
      <c r="Q139" s="93">
        <f t="shared" si="100"/>
        <v>0</v>
      </c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</row>
    <row r="140" ht="15.75" hidden="1" customHeight="1" outlineLevel="1">
      <c r="A140" s="11"/>
      <c r="B140" s="11" t="s">
        <v>149</v>
      </c>
      <c r="C140" s="12">
        <v>115</v>
      </c>
      <c r="D140" s="12">
        <v>5</v>
      </c>
      <c r="E140" s="90">
        <f t="shared" si="96"/>
        <v>0.043478260869565216</v>
      </c>
      <c r="F140" s="12"/>
      <c r="G140" s="12"/>
      <c r="H140" s="90"/>
      <c r="I140" s="12">
        <f t="shared" ref="I140:J147" si="120">C140-F140</f>
        <v>115</v>
      </c>
      <c r="J140" s="12">
        <f t="shared" si="120"/>
        <v>5</v>
      </c>
      <c r="K140" s="90">
        <f t="shared" si="97"/>
        <v>0.043478260869565216</v>
      </c>
      <c r="L140" s="94">
        <v>4</v>
      </c>
      <c r="M140" s="95">
        <v>0</v>
      </c>
      <c r="N140" s="93">
        <f t="shared" si="82"/>
        <v>0</v>
      </c>
      <c r="O140" s="95">
        <v>0</v>
      </c>
      <c r="P140" s="95">
        <v>0</v>
      </c>
      <c r="Q140" s="93">
        <v>0</v>
      </c>
    </row>
    <row r="141" ht="15.75" hidden="1" customHeight="1" outlineLevel="1">
      <c r="A141" s="11"/>
      <c r="B141" s="112" t="s">
        <v>150</v>
      </c>
      <c r="C141" s="12"/>
      <c r="D141" s="12"/>
      <c r="E141" s="90" t="e">
        <f t="shared" si="96"/>
        <v>#DIV/0!</v>
      </c>
      <c r="F141" s="12"/>
      <c r="G141" s="12"/>
      <c r="H141" s="90"/>
      <c r="I141" s="12">
        <f t="shared" si="120"/>
        <v>0</v>
      </c>
      <c r="J141" s="12">
        <f t="shared" si="120"/>
        <v>0</v>
      </c>
      <c r="K141" s="90" t="e">
        <f t="shared" si="97"/>
        <v>#DIV/0!</v>
      </c>
      <c r="L141" s="94">
        <v>0</v>
      </c>
      <c r="M141" s="95">
        <v>0</v>
      </c>
      <c r="N141" s="93">
        <v>0</v>
      </c>
      <c r="O141" s="95">
        <v>0</v>
      </c>
      <c r="P141" s="95">
        <v>0</v>
      </c>
      <c r="Q141" s="93">
        <v>0</v>
      </c>
    </row>
    <row r="142" ht="15.75" hidden="1" customHeight="1" outlineLevel="1">
      <c r="A142" s="11"/>
      <c r="B142" s="11" t="s">
        <v>151</v>
      </c>
      <c r="C142" s="12">
        <f>222.32-83.86</f>
        <v>138.45999999999998</v>
      </c>
      <c r="D142" s="12">
        <f>8.625-3.375</f>
        <v>5.25</v>
      </c>
      <c r="E142" s="90">
        <f t="shared" si="96"/>
        <v>0.037917087967644092</v>
      </c>
      <c r="F142" s="12">
        <v>71.170000000000002</v>
      </c>
      <c r="G142" s="12">
        <v>3</v>
      </c>
      <c r="H142" s="90"/>
      <c r="I142" s="12">
        <f t="shared" si="120"/>
        <v>67.289999999999978</v>
      </c>
      <c r="J142" s="12">
        <f t="shared" si="120"/>
        <v>2.25</v>
      </c>
      <c r="K142" s="90">
        <f t="shared" si="97"/>
        <v>0.033437360677663855</v>
      </c>
      <c r="L142" s="94">
        <v>8.7100000000000009</v>
      </c>
      <c r="M142" s="95">
        <v>1</v>
      </c>
      <c r="N142" s="93">
        <f t="shared" si="82"/>
        <v>0.11481056257175659</v>
      </c>
      <c r="O142" s="95">
        <v>2</v>
      </c>
      <c r="P142" s="95">
        <v>0</v>
      </c>
      <c r="Q142" s="93">
        <f t="shared" si="100"/>
        <v>0</v>
      </c>
    </row>
    <row r="143" ht="15.75" hidden="1" customHeight="1" outlineLevel="1">
      <c r="A143" s="11"/>
      <c r="B143" s="11" t="s">
        <v>152</v>
      </c>
      <c r="C143" s="12">
        <f>33.98+12.07+62.44</f>
        <v>108.48999999999999</v>
      </c>
      <c r="D143" s="12">
        <v>1.5</v>
      </c>
      <c r="E143" s="90">
        <f t="shared" si="96"/>
        <v>0.013826159093003965</v>
      </c>
      <c r="F143" s="12"/>
      <c r="G143" s="12"/>
      <c r="H143" s="90"/>
      <c r="I143" s="12">
        <f t="shared" si="120"/>
        <v>108.48999999999999</v>
      </c>
      <c r="J143" s="12">
        <f t="shared" si="120"/>
        <v>1.5</v>
      </c>
      <c r="K143" s="90">
        <f t="shared" si="97"/>
        <v>0.013826159093003965</v>
      </c>
      <c r="L143" s="94">
        <v>8</v>
      </c>
      <c r="M143" s="95">
        <v>0</v>
      </c>
      <c r="N143" s="93">
        <f t="shared" si="82"/>
        <v>0</v>
      </c>
      <c r="O143" s="95">
        <v>0</v>
      </c>
      <c r="P143" s="95">
        <v>0</v>
      </c>
      <c r="Q143" s="93">
        <v>0</v>
      </c>
    </row>
    <row r="144" ht="15.75" hidden="1" customHeight="1" outlineLevel="1">
      <c r="A144" s="11"/>
      <c r="B144" s="11" t="s">
        <v>153</v>
      </c>
      <c r="C144" s="12">
        <v>112.28</v>
      </c>
      <c r="D144" s="12">
        <v>4</v>
      </c>
      <c r="E144" s="90">
        <f t="shared" si="96"/>
        <v>0.035625222657641613</v>
      </c>
      <c r="F144" s="12"/>
      <c r="G144" s="12"/>
      <c r="H144" s="90"/>
      <c r="I144" s="12">
        <f t="shared" si="120"/>
        <v>112.28</v>
      </c>
      <c r="J144" s="12">
        <f t="shared" si="120"/>
        <v>4</v>
      </c>
      <c r="K144" s="90">
        <f t="shared" si="97"/>
        <v>0.035625222657641613</v>
      </c>
      <c r="L144" s="94">
        <v>7.5</v>
      </c>
      <c r="M144" s="95">
        <v>1</v>
      </c>
      <c r="N144" s="93">
        <f t="shared" si="82"/>
        <v>0.13333333333333333</v>
      </c>
      <c r="O144" s="95">
        <v>0.19</v>
      </c>
      <c r="P144" s="95">
        <v>0</v>
      </c>
      <c r="Q144" s="93">
        <f t="shared" si="100"/>
        <v>0</v>
      </c>
    </row>
    <row r="145" ht="15.75" hidden="1" customHeight="1" outlineLevel="1">
      <c r="A145" s="11"/>
      <c r="B145" s="11" t="s">
        <v>154</v>
      </c>
      <c r="C145" s="12">
        <v>115.40000000000001</v>
      </c>
      <c r="D145" s="12">
        <v>4</v>
      </c>
      <c r="E145" s="90">
        <f t="shared" si="96"/>
        <v>0.034662045060658578</v>
      </c>
      <c r="F145" s="12"/>
      <c r="G145" s="12"/>
      <c r="H145" s="90"/>
      <c r="I145" s="12">
        <f t="shared" si="120"/>
        <v>115.40000000000001</v>
      </c>
      <c r="J145" s="12">
        <f t="shared" si="120"/>
        <v>4</v>
      </c>
      <c r="K145" s="90">
        <f t="shared" si="97"/>
        <v>0.034662045060658578</v>
      </c>
      <c r="L145" s="94">
        <v>5</v>
      </c>
      <c r="M145" s="95">
        <v>1</v>
      </c>
      <c r="N145" s="93">
        <f t="shared" si="82"/>
        <v>0.20000000000000001</v>
      </c>
      <c r="O145" s="95">
        <v>2</v>
      </c>
      <c r="P145" s="95">
        <v>0</v>
      </c>
      <c r="Q145" s="93">
        <f t="shared" si="100"/>
        <v>0</v>
      </c>
    </row>
    <row r="146" ht="15.75" hidden="1" customHeight="1" outlineLevel="1">
      <c r="A146" s="11"/>
      <c r="B146" s="11" t="s">
        <v>155</v>
      </c>
      <c r="C146" s="12">
        <f>17.69+2.12+5.49+3.68+3+31.06+10.35</f>
        <v>73.390000000000001</v>
      </c>
      <c r="D146" s="12">
        <v>3</v>
      </c>
      <c r="E146" s="90">
        <f t="shared" si="96"/>
        <v>0.040877503747104513</v>
      </c>
      <c r="F146" s="12"/>
      <c r="G146" s="12"/>
      <c r="H146" s="90"/>
      <c r="I146" s="12">
        <f t="shared" si="120"/>
        <v>73.390000000000001</v>
      </c>
      <c r="J146" s="12">
        <f t="shared" si="120"/>
        <v>3</v>
      </c>
      <c r="K146" s="90">
        <f t="shared" si="97"/>
        <v>0.040877503747104513</v>
      </c>
      <c r="L146" s="94">
        <v>0.40000000000000002</v>
      </c>
      <c r="M146" s="95">
        <v>0</v>
      </c>
      <c r="N146" s="93">
        <f t="shared" si="82"/>
        <v>0</v>
      </c>
      <c r="O146" s="95">
        <v>0</v>
      </c>
      <c r="P146" s="95">
        <v>0</v>
      </c>
      <c r="Q146" s="93" t="e">
        <f t="shared" si="100"/>
        <v>#DIV/0!</v>
      </c>
    </row>
    <row r="147" ht="15.75" hidden="1" customHeight="1" outlineLevel="1">
      <c r="A147" s="11"/>
      <c r="B147" s="11" t="s">
        <v>156</v>
      </c>
      <c r="C147" s="12">
        <f>31.26+1.77+8.75+44.92</f>
        <v>86.700000000000003</v>
      </c>
      <c r="D147" s="12">
        <f>1.3</f>
        <v>1.3</v>
      </c>
      <c r="E147" s="90">
        <f t="shared" si="96"/>
        <v>0.014994232987312572</v>
      </c>
      <c r="F147" s="96"/>
      <c r="G147" s="12"/>
      <c r="H147" s="90"/>
      <c r="I147" s="12">
        <f t="shared" si="120"/>
        <v>86.700000000000003</v>
      </c>
      <c r="J147" s="12">
        <f t="shared" si="120"/>
        <v>1.3</v>
      </c>
      <c r="K147" s="90">
        <f t="shared" si="97"/>
        <v>0.014994232987312572</v>
      </c>
      <c r="L147" s="94">
        <v>7.7400000000000002</v>
      </c>
      <c r="M147" s="95">
        <v>0</v>
      </c>
      <c r="N147" s="93">
        <f t="shared" si="82"/>
        <v>0</v>
      </c>
      <c r="O147" s="95">
        <v>0</v>
      </c>
      <c r="P147" s="95">
        <v>0</v>
      </c>
      <c r="Q147" s="93" t="e">
        <f t="shared" si="100"/>
        <v>#DIV/0!</v>
      </c>
    </row>
    <row r="148" ht="15.75" customHeight="1" collapsed="1">
      <c r="A148" s="88" t="s">
        <v>173</v>
      </c>
      <c r="B148" s="88" t="s">
        <v>148</v>
      </c>
      <c r="C148" s="89">
        <f t="shared" ref="C148:D148" si="121">SUM(C149:C156)</f>
        <v>741.35000000000014</v>
      </c>
      <c r="D148" s="89">
        <f t="shared" si="121"/>
        <v>33.5</v>
      </c>
      <c r="E148" s="90">
        <f t="shared" si="96"/>
        <v>0.045187833007351443</v>
      </c>
      <c r="F148" s="89">
        <f t="shared" si="116"/>
        <v>72.230000000000004</v>
      </c>
      <c r="G148" s="89">
        <f t="shared" si="116"/>
        <v>1.5</v>
      </c>
      <c r="H148" s="90">
        <f t="shared" si="87"/>
        <v>0.020766994323688216</v>
      </c>
      <c r="I148" s="89">
        <f t="shared" ref="I148:J148" si="122">SUM(I149:I156)</f>
        <v>669.11999999999989</v>
      </c>
      <c r="J148" s="89">
        <f t="shared" si="122"/>
        <v>32</v>
      </c>
      <c r="K148" s="90">
        <f t="shared" si="97"/>
        <v>0.047824007651841235</v>
      </c>
      <c r="L148" s="91">
        <f t="shared" si="118"/>
        <v>41.479999999999997</v>
      </c>
      <c r="M148" s="92">
        <f t="shared" si="118"/>
        <v>3</v>
      </c>
      <c r="N148" s="93">
        <f t="shared" si="82"/>
        <v>0.072324011571841859</v>
      </c>
      <c r="O148" s="92">
        <f t="shared" si="119"/>
        <v>14.82</v>
      </c>
      <c r="P148" s="92">
        <f t="shared" si="119"/>
        <v>4</v>
      </c>
      <c r="Q148" s="93">
        <f t="shared" si="100"/>
        <v>0.26990553306342779</v>
      </c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</row>
    <row r="149" ht="15.75" hidden="1" customHeight="1" outlineLevel="1">
      <c r="A149" s="11"/>
      <c r="B149" s="11" t="s">
        <v>149</v>
      </c>
      <c r="C149" s="12">
        <v>102</v>
      </c>
      <c r="D149" s="12">
        <v>5</v>
      </c>
      <c r="E149" s="90">
        <f t="shared" si="96"/>
        <v>0.049019607843137254</v>
      </c>
      <c r="F149" s="12"/>
      <c r="G149" s="12"/>
      <c r="H149" s="90"/>
      <c r="I149" s="12">
        <f t="shared" ref="I149:J156" si="123">C149-F149</f>
        <v>102</v>
      </c>
      <c r="J149" s="12">
        <f t="shared" si="123"/>
        <v>5</v>
      </c>
      <c r="K149" s="90">
        <f t="shared" si="97"/>
        <v>0.049019607843137254</v>
      </c>
      <c r="L149" s="94">
        <v>4</v>
      </c>
      <c r="M149" s="95">
        <v>0</v>
      </c>
      <c r="N149" s="93">
        <f t="shared" si="82"/>
        <v>0</v>
      </c>
      <c r="O149" s="95">
        <v>0</v>
      </c>
      <c r="P149" s="95">
        <v>0</v>
      </c>
      <c r="Q149" s="93">
        <v>0</v>
      </c>
    </row>
    <row r="150" ht="15.75" hidden="1" customHeight="1" outlineLevel="1">
      <c r="A150" s="11"/>
      <c r="B150" s="112" t="s">
        <v>150</v>
      </c>
      <c r="C150" s="12"/>
      <c r="D150" s="12"/>
      <c r="E150" s="90" t="e">
        <f t="shared" si="96"/>
        <v>#DIV/0!</v>
      </c>
      <c r="F150" s="12"/>
      <c r="G150" s="12"/>
      <c r="H150" s="90"/>
      <c r="I150" s="12">
        <f t="shared" si="123"/>
        <v>0</v>
      </c>
      <c r="J150" s="12">
        <f t="shared" si="123"/>
        <v>0</v>
      </c>
      <c r="K150" s="90" t="e">
        <f t="shared" si="97"/>
        <v>#DIV/0!</v>
      </c>
      <c r="L150" s="94">
        <v>0</v>
      </c>
      <c r="M150" s="95">
        <v>0</v>
      </c>
      <c r="N150" s="93">
        <v>0</v>
      </c>
      <c r="O150" s="95">
        <v>5</v>
      </c>
      <c r="P150" s="95">
        <v>0</v>
      </c>
      <c r="Q150" s="93">
        <v>0</v>
      </c>
    </row>
    <row r="151" ht="15.75" hidden="1" customHeight="1" outlineLevel="1">
      <c r="A151" s="11"/>
      <c r="B151" s="11" t="s">
        <v>151</v>
      </c>
      <c r="C151" s="12">
        <f>226.14-84.48</f>
        <v>141.65999999999997</v>
      </c>
      <c r="D151" s="12">
        <f>5.5-0</f>
        <v>5.5</v>
      </c>
      <c r="E151" s="90">
        <f t="shared" si="96"/>
        <v>0.03882535648736412</v>
      </c>
      <c r="F151" s="12">
        <v>72.230000000000004</v>
      </c>
      <c r="G151" s="12">
        <v>1.5</v>
      </c>
      <c r="H151" s="90"/>
      <c r="I151" s="12">
        <f t="shared" si="123"/>
        <v>69.429999999999964</v>
      </c>
      <c r="J151" s="12">
        <f t="shared" si="123"/>
        <v>4</v>
      </c>
      <c r="K151" s="90">
        <f t="shared" si="97"/>
        <v>0.057611983292524878</v>
      </c>
      <c r="L151" s="94">
        <v>9</v>
      </c>
      <c r="M151" s="95">
        <v>1</v>
      </c>
      <c r="N151" s="93">
        <f t="shared" si="82"/>
        <v>0.1111111111111111</v>
      </c>
      <c r="O151" s="95">
        <v>6</v>
      </c>
      <c r="P151" s="95">
        <v>4</v>
      </c>
      <c r="Q151" s="93">
        <f t="shared" si="100"/>
        <v>0.66666666666666663</v>
      </c>
    </row>
    <row r="152" ht="15.75" hidden="1" customHeight="1" outlineLevel="1">
      <c r="A152" s="11"/>
      <c r="B152" s="11" t="s">
        <v>152</v>
      </c>
      <c r="C152" s="12">
        <f>34.15+12.07+65.01</f>
        <v>111.23</v>
      </c>
      <c r="D152" s="12">
        <f>1+1</f>
        <v>2</v>
      </c>
      <c r="E152" s="90">
        <f t="shared" si="96"/>
        <v>0.017980760586172793</v>
      </c>
      <c r="F152" s="12"/>
      <c r="G152" s="12"/>
      <c r="H152" s="90"/>
      <c r="I152" s="12">
        <f t="shared" si="123"/>
        <v>111.23</v>
      </c>
      <c r="J152" s="12">
        <f t="shared" si="123"/>
        <v>2</v>
      </c>
      <c r="K152" s="90">
        <f t="shared" si="97"/>
        <v>0.017980760586172793</v>
      </c>
      <c r="L152" s="94">
        <v>8.1799999999999997</v>
      </c>
      <c r="M152" s="95">
        <v>1</v>
      </c>
      <c r="N152" s="93">
        <f t="shared" si="82"/>
        <v>0.12224938875305624</v>
      </c>
      <c r="O152" s="95">
        <v>0</v>
      </c>
      <c r="P152" s="95">
        <v>0</v>
      </c>
      <c r="Q152" s="93">
        <v>0</v>
      </c>
    </row>
    <row r="153" ht="15.75" hidden="1" customHeight="1" outlineLevel="1">
      <c r="A153" s="11"/>
      <c r="B153" s="11" t="s">
        <v>153</v>
      </c>
      <c r="C153" s="12">
        <v>113.23</v>
      </c>
      <c r="D153" s="12">
        <v>9</v>
      </c>
      <c r="E153" s="90">
        <f t="shared" si="96"/>
        <v>0.079484235626600716</v>
      </c>
      <c r="F153" s="12"/>
      <c r="G153" s="12"/>
      <c r="H153" s="90"/>
      <c r="I153" s="12">
        <f t="shared" si="123"/>
        <v>113.23</v>
      </c>
      <c r="J153" s="12">
        <f t="shared" si="123"/>
        <v>9</v>
      </c>
      <c r="K153" s="90">
        <f t="shared" si="97"/>
        <v>0.079484235626600716</v>
      </c>
      <c r="L153" s="94">
        <v>6.54</v>
      </c>
      <c r="M153" s="95">
        <v>0</v>
      </c>
      <c r="N153" s="93">
        <f t="shared" si="82"/>
        <v>0</v>
      </c>
      <c r="O153" s="95">
        <v>1.8200000000000001</v>
      </c>
      <c r="P153" s="95">
        <v>0</v>
      </c>
      <c r="Q153" s="93">
        <f t="shared" si="100"/>
        <v>0</v>
      </c>
    </row>
    <row r="154" ht="15.75" hidden="1" customHeight="1" outlineLevel="1">
      <c r="A154" s="11"/>
      <c r="B154" s="11" t="s">
        <v>154</v>
      </c>
      <c r="C154" s="12">
        <v>114.70999999999999</v>
      </c>
      <c r="D154" s="12">
        <v>4</v>
      </c>
      <c r="E154" s="90">
        <f t="shared" si="96"/>
        <v>0.034870543108708921</v>
      </c>
      <c r="F154" s="12"/>
      <c r="G154" s="12"/>
      <c r="H154" s="90"/>
      <c r="I154" s="12">
        <f t="shared" si="123"/>
        <v>114.70999999999999</v>
      </c>
      <c r="J154" s="12">
        <f t="shared" si="123"/>
        <v>4</v>
      </c>
      <c r="K154" s="90">
        <f t="shared" si="97"/>
        <v>0.034870543108708921</v>
      </c>
      <c r="L154" s="94">
        <v>5.5700000000000003</v>
      </c>
      <c r="M154" s="95">
        <v>0</v>
      </c>
      <c r="N154" s="93">
        <f t="shared" si="82"/>
        <v>0</v>
      </c>
      <c r="O154" s="95">
        <v>2</v>
      </c>
      <c r="P154" s="95">
        <v>0</v>
      </c>
      <c r="Q154" s="93">
        <f t="shared" si="100"/>
        <v>0</v>
      </c>
    </row>
    <row r="155" ht="15.75" hidden="1" customHeight="1" outlineLevel="1">
      <c r="A155" s="11"/>
      <c r="B155" s="11" t="s">
        <v>155</v>
      </c>
      <c r="C155" s="12">
        <f>18.01+2.12+5.49+3.68+3+29.02+10.38</f>
        <v>71.700000000000003</v>
      </c>
      <c r="D155" s="12">
        <v>6</v>
      </c>
      <c r="E155" s="90">
        <f t="shared" si="96"/>
        <v>0.083682008368200833</v>
      </c>
      <c r="F155" s="12"/>
      <c r="G155" s="12"/>
      <c r="H155" s="90"/>
      <c r="I155" s="12">
        <f t="shared" si="123"/>
        <v>71.700000000000003</v>
      </c>
      <c r="J155" s="12">
        <f t="shared" si="123"/>
        <v>6</v>
      </c>
      <c r="K155" s="90">
        <f t="shared" si="97"/>
        <v>0.083682008368200833</v>
      </c>
      <c r="L155" s="94">
        <v>0.40000000000000002</v>
      </c>
      <c r="M155" s="95">
        <v>0</v>
      </c>
      <c r="N155" s="93">
        <f t="shared" si="82"/>
        <v>0</v>
      </c>
      <c r="O155" s="95">
        <v>0</v>
      </c>
      <c r="P155" s="95">
        <v>0</v>
      </c>
      <c r="Q155" s="93" t="e">
        <f t="shared" si="100"/>
        <v>#DIV/0!</v>
      </c>
    </row>
    <row r="156" ht="15.75" hidden="1" customHeight="1" outlineLevel="1">
      <c r="A156" s="11"/>
      <c r="B156" s="11" t="s">
        <v>156</v>
      </c>
      <c r="C156" s="12">
        <f>31.95+1.77+8+45.1</f>
        <v>86.819999999999993</v>
      </c>
      <c r="D156" s="12">
        <f>1+1</f>
        <v>2</v>
      </c>
      <c r="E156" s="90">
        <f t="shared" si="96"/>
        <v>0.023036166781847504</v>
      </c>
      <c r="F156" s="96"/>
      <c r="G156" s="12"/>
      <c r="H156" s="90"/>
      <c r="I156" s="12">
        <f t="shared" si="123"/>
        <v>86.819999999999993</v>
      </c>
      <c r="J156" s="12">
        <f t="shared" si="123"/>
        <v>2</v>
      </c>
      <c r="K156" s="90">
        <f t="shared" si="97"/>
        <v>0.023036166781847504</v>
      </c>
      <c r="L156" s="94">
        <v>7.79</v>
      </c>
      <c r="M156" s="95">
        <v>1</v>
      </c>
      <c r="N156" s="93">
        <f t="shared" si="82"/>
        <v>0.12836970474967907</v>
      </c>
      <c r="O156" s="95">
        <v>0</v>
      </c>
      <c r="P156" s="95">
        <v>0</v>
      </c>
      <c r="Q156" s="93" t="e">
        <f t="shared" si="100"/>
        <v>#DIV/0!</v>
      </c>
    </row>
    <row r="157" ht="15.75" customHeight="1" collapsed="1">
      <c r="A157" s="88" t="s">
        <v>174</v>
      </c>
      <c r="B157" s="88" t="s">
        <v>148</v>
      </c>
      <c r="C157" s="89">
        <f t="shared" ref="C157:D157" si="124">SUM(C158:C165)</f>
        <v>140.19</v>
      </c>
      <c r="D157" s="89">
        <f t="shared" si="124"/>
        <v>4</v>
      </c>
      <c r="E157" s="90">
        <f t="shared" si="96"/>
        <v>0.028532705613809831</v>
      </c>
      <c r="F157" s="89">
        <f t="shared" si="116"/>
        <v>0</v>
      </c>
      <c r="G157" s="89">
        <f t="shared" si="116"/>
        <v>0</v>
      </c>
      <c r="H157" s="90" t="e">
        <f t="shared" si="87"/>
        <v>#DIV/0!</v>
      </c>
      <c r="I157" s="89">
        <f t="shared" ref="I157:J157" si="125">SUM(I158:I165)</f>
        <v>140.19</v>
      </c>
      <c r="J157" s="89">
        <f t="shared" si="125"/>
        <v>4</v>
      </c>
      <c r="K157" s="90">
        <f t="shared" si="97"/>
        <v>0.028532705613809831</v>
      </c>
      <c r="L157" s="91">
        <f t="shared" si="118"/>
        <v>25</v>
      </c>
      <c r="M157" s="92">
        <f t="shared" si="118"/>
        <v>1</v>
      </c>
      <c r="N157" s="93">
        <f t="shared" si="82"/>
        <v>0.040000000000000001</v>
      </c>
      <c r="O157" s="92">
        <f t="shared" si="119"/>
        <v>9</v>
      </c>
      <c r="P157" s="92">
        <f t="shared" si="119"/>
        <v>2</v>
      </c>
      <c r="Q157" s="93">
        <f t="shared" si="100"/>
        <v>0.22222222222222221</v>
      </c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</row>
    <row r="158" ht="15.75" hidden="1" customHeight="1" outlineLevel="1">
      <c r="A158" s="11"/>
      <c r="B158" s="11" t="s">
        <v>149</v>
      </c>
      <c r="C158" s="12"/>
      <c r="D158" s="12"/>
      <c r="E158" s="90" t="e">
        <f t="shared" si="96"/>
        <v>#DIV/0!</v>
      </c>
      <c r="F158" s="12"/>
      <c r="G158" s="12"/>
      <c r="H158" s="90"/>
      <c r="I158" s="12">
        <f t="shared" ref="I158:J165" si="126">C158-F158</f>
        <v>0</v>
      </c>
      <c r="J158" s="12">
        <f t="shared" si="126"/>
        <v>0</v>
      </c>
      <c r="K158" s="90" t="e">
        <f t="shared" si="97"/>
        <v>#DIV/0!</v>
      </c>
      <c r="L158" s="129"/>
      <c r="M158" s="130"/>
      <c r="N158" s="93" t="e">
        <f t="shared" si="82"/>
        <v>#DIV/0!</v>
      </c>
      <c r="O158" s="95">
        <v>0</v>
      </c>
      <c r="P158" s="95">
        <v>0</v>
      </c>
      <c r="Q158" s="93">
        <v>0</v>
      </c>
    </row>
    <row r="159" ht="15.75" hidden="1" customHeight="1" outlineLevel="1">
      <c r="A159" s="11"/>
      <c r="B159" s="112" t="s">
        <v>150</v>
      </c>
      <c r="C159" s="12"/>
      <c r="D159" s="12"/>
      <c r="E159" s="90"/>
      <c r="F159" s="12"/>
      <c r="G159" s="12"/>
      <c r="H159" s="90"/>
      <c r="I159" s="12">
        <f t="shared" si="126"/>
        <v>0</v>
      </c>
      <c r="J159" s="12">
        <f t="shared" si="126"/>
        <v>0</v>
      </c>
      <c r="K159" s="90" t="e">
        <f t="shared" si="97"/>
        <v>#DIV/0!</v>
      </c>
      <c r="L159" s="94">
        <v>1</v>
      </c>
      <c r="M159" s="95">
        <v>0</v>
      </c>
      <c r="N159" s="93">
        <f t="shared" si="82"/>
        <v>0</v>
      </c>
      <c r="O159" s="95">
        <v>0</v>
      </c>
      <c r="P159" s="95">
        <v>0</v>
      </c>
      <c r="Q159" s="93">
        <v>0</v>
      </c>
    </row>
    <row r="160" ht="15.75" hidden="1" customHeight="1" outlineLevel="1">
      <c r="A160" s="11"/>
      <c r="B160" s="11" t="s">
        <v>151</v>
      </c>
      <c r="C160" s="12">
        <f>29.28+17.51+36+23.23+34.17</f>
        <v>140.19</v>
      </c>
      <c r="D160" s="12">
        <f>3+0+0+1+0</f>
        <v>4</v>
      </c>
      <c r="E160" s="90">
        <f t="shared" si="96"/>
        <v>0.028532705613809831</v>
      </c>
      <c r="F160" s="12"/>
      <c r="G160" s="12"/>
      <c r="H160" s="90"/>
      <c r="I160" s="12">
        <f t="shared" si="126"/>
        <v>140.19</v>
      </c>
      <c r="J160" s="12">
        <f t="shared" si="126"/>
        <v>4</v>
      </c>
      <c r="K160" s="90">
        <f t="shared" si="97"/>
        <v>0.028532705613809831</v>
      </c>
      <c r="L160" s="94">
        <v>9</v>
      </c>
      <c r="M160" s="95">
        <v>1</v>
      </c>
      <c r="N160" s="93">
        <f t="shared" si="82"/>
        <v>0.1111111111111111</v>
      </c>
      <c r="O160" s="95">
        <v>6</v>
      </c>
      <c r="P160" s="95">
        <v>2</v>
      </c>
      <c r="Q160" s="93">
        <f t="shared" si="100"/>
        <v>0.33333333333333331</v>
      </c>
    </row>
    <row r="161" ht="15.75" hidden="1" customHeight="1" outlineLevel="1">
      <c r="A161" s="11"/>
      <c r="B161" s="11" t="s">
        <v>152</v>
      </c>
      <c r="C161" s="12"/>
      <c r="D161" s="12"/>
      <c r="E161" s="90" t="e">
        <f t="shared" si="96"/>
        <v>#DIV/0!</v>
      </c>
      <c r="F161" s="12"/>
      <c r="G161" s="12"/>
      <c r="H161" s="90"/>
      <c r="I161" s="12">
        <f t="shared" si="126"/>
        <v>0</v>
      </c>
      <c r="J161" s="12">
        <f t="shared" si="126"/>
        <v>0</v>
      </c>
      <c r="K161" s="90" t="e">
        <f t="shared" si="97"/>
        <v>#DIV/0!</v>
      </c>
      <c r="L161" s="94">
        <v>8</v>
      </c>
      <c r="M161" s="95">
        <v>0</v>
      </c>
      <c r="N161" s="93">
        <f t="shared" si="82"/>
        <v>0</v>
      </c>
      <c r="O161" s="95">
        <v>1</v>
      </c>
      <c r="P161" s="95">
        <v>0</v>
      </c>
      <c r="Q161" s="93">
        <f t="shared" si="100"/>
        <v>0</v>
      </c>
    </row>
    <row r="162" ht="15.75" hidden="1" customHeight="1" outlineLevel="1">
      <c r="A162" s="11"/>
      <c r="B162" s="11" t="s">
        <v>153</v>
      </c>
      <c r="C162" s="12"/>
      <c r="D162" s="12"/>
      <c r="E162" s="90" t="e">
        <f t="shared" si="96"/>
        <v>#DIV/0!</v>
      </c>
      <c r="F162" s="12"/>
      <c r="G162" s="12"/>
      <c r="H162" s="90"/>
      <c r="I162" s="12">
        <f t="shared" si="126"/>
        <v>0</v>
      </c>
      <c r="J162" s="12">
        <f t="shared" si="126"/>
        <v>0</v>
      </c>
      <c r="K162" s="90" t="e">
        <f t="shared" si="97"/>
        <v>#DIV/0!</v>
      </c>
      <c r="L162" s="94"/>
      <c r="M162" s="95"/>
      <c r="N162" s="93" t="e">
        <f t="shared" si="82"/>
        <v>#DIV/0!</v>
      </c>
      <c r="O162" s="95"/>
      <c r="P162" s="130"/>
      <c r="Q162" s="93" t="e">
        <f t="shared" si="100"/>
        <v>#DIV/0!</v>
      </c>
    </row>
    <row r="163" ht="15.75" hidden="1" customHeight="1" outlineLevel="1">
      <c r="A163" s="11"/>
      <c r="B163" s="11" t="s">
        <v>154</v>
      </c>
      <c r="C163" s="12"/>
      <c r="D163" s="12"/>
      <c r="E163" s="90" t="e">
        <f t="shared" si="96"/>
        <v>#DIV/0!</v>
      </c>
      <c r="F163" s="12"/>
      <c r="G163" s="12"/>
      <c r="H163" s="90"/>
      <c r="I163" s="12">
        <f t="shared" si="126"/>
        <v>0</v>
      </c>
      <c r="J163" s="12">
        <f t="shared" si="126"/>
        <v>0</v>
      </c>
      <c r="K163" s="90" t="e">
        <f t="shared" si="97"/>
        <v>#DIV/0!</v>
      </c>
      <c r="L163" s="94">
        <v>7</v>
      </c>
      <c r="M163" s="130"/>
      <c r="N163" s="93">
        <f t="shared" si="82"/>
        <v>0</v>
      </c>
      <c r="O163" s="95">
        <v>2</v>
      </c>
      <c r="P163" s="130"/>
      <c r="Q163" s="93">
        <f t="shared" si="100"/>
        <v>0</v>
      </c>
    </row>
    <row r="164" ht="15.75" hidden="1" customHeight="1" outlineLevel="1">
      <c r="A164" s="11"/>
      <c r="B164" s="11" t="s">
        <v>155</v>
      </c>
      <c r="C164" s="12"/>
      <c r="D164" s="12"/>
      <c r="E164" s="90" t="e">
        <f t="shared" si="96"/>
        <v>#DIV/0!</v>
      </c>
      <c r="F164" s="12"/>
      <c r="G164" s="12"/>
      <c r="H164" s="90"/>
      <c r="I164" s="12">
        <f t="shared" si="126"/>
        <v>0</v>
      </c>
      <c r="J164" s="12">
        <f t="shared" si="126"/>
        <v>0</v>
      </c>
      <c r="K164" s="90" t="e">
        <f t="shared" si="97"/>
        <v>#DIV/0!</v>
      </c>
      <c r="L164" s="129"/>
      <c r="M164" s="95"/>
      <c r="N164" s="93" t="e">
        <f t="shared" si="82"/>
        <v>#DIV/0!</v>
      </c>
      <c r="O164" s="130"/>
      <c r="P164" s="95">
        <v>0</v>
      </c>
      <c r="Q164" s="93" t="e">
        <f t="shared" si="100"/>
        <v>#DIV/0!</v>
      </c>
    </row>
    <row r="165" ht="15.75" hidden="1" customHeight="1" outlineLevel="1">
      <c r="A165" s="11"/>
      <c r="B165" s="11" t="s">
        <v>156</v>
      </c>
      <c r="C165" s="12"/>
      <c r="D165" s="12"/>
      <c r="E165" s="90" t="e">
        <f t="shared" si="96"/>
        <v>#DIV/0!</v>
      </c>
      <c r="F165" s="96"/>
      <c r="G165" s="12"/>
      <c r="H165" s="90"/>
      <c r="I165" s="12">
        <f t="shared" si="126"/>
        <v>0</v>
      </c>
      <c r="J165" s="12">
        <f t="shared" si="126"/>
        <v>0</v>
      </c>
      <c r="K165" s="90" t="e">
        <f t="shared" si="97"/>
        <v>#DIV/0!</v>
      </c>
      <c r="L165" s="129"/>
      <c r="M165" s="130"/>
      <c r="N165" s="93" t="e">
        <f t="shared" si="82"/>
        <v>#DIV/0!</v>
      </c>
      <c r="O165" s="130"/>
      <c r="P165" s="95">
        <v>0</v>
      </c>
      <c r="Q165" s="93" t="e">
        <f t="shared" si="100"/>
        <v>#DIV/0!</v>
      </c>
    </row>
    <row r="166" ht="15.75" customHeight="1" collapsed="1">
      <c r="A166" s="88" t="s">
        <v>175</v>
      </c>
      <c r="B166" s="88" t="s">
        <v>148</v>
      </c>
      <c r="C166" s="89">
        <f t="shared" ref="C166:D193" si="127">SUM(C167:C174)</f>
        <v>0</v>
      </c>
      <c r="D166" s="89">
        <f t="shared" si="127"/>
        <v>0</v>
      </c>
      <c r="E166" s="90" t="e">
        <f t="shared" si="96"/>
        <v>#DIV/0!</v>
      </c>
      <c r="F166" s="89">
        <f t="shared" si="116"/>
        <v>0</v>
      </c>
      <c r="G166" s="89">
        <f t="shared" si="116"/>
        <v>0</v>
      </c>
      <c r="H166" s="90" t="e">
        <f t="shared" si="87"/>
        <v>#DIV/0!</v>
      </c>
      <c r="I166" s="89">
        <f t="shared" ref="I166:J166" si="128">SUM(I167:I174)</f>
        <v>0</v>
      </c>
      <c r="J166" s="89">
        <f t="shared" si="128"/>
        <v>0</v>
      </c>
      <c r="K166" s="90" t="e">
        <f t="shared" si="97"/>
        <v>#DIV/0!</v>
      </c>
      <c r="L166" s="91">
        <f t="shared" si="118"/>
        <v>0</v>
      </c>
      <c r="M166" s="92">
        <f t="shared" si="118"/>
        <v>0</v>
      </c>
      <c r="N166" s="93" t="e">
        <f t="shared" si="82"/>
        <v>#DIV/0!</v>
      </c>
      <c r="O166" s="92">
        <f t="shared" si="119"/>
        <v>0</v>
      </c>
      <c r="P166" s="92">
        <f t="shared" si="119"/>
        <v>0</v>
      </c>
      <c r="Q166" s="93" t="e">
        <f t="shared" si="100"/>
        <v>#DIV/0!</v>
      </c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</row>
    <row r="167" ht="15.75" hidden="1" customHeight="1" outlineLevel="1">
      <c r="A167" s="11"/>
      <c r="B167" s="11" t="s">
        <v>149</v>
      </c>
      <c r="C167" s="12"/>
      <c r="D167" s="12"/>
      <c r="E167" s="90" t="e">
        <f t="shared" si="96"/>
        <v>#DIV/0!</v>
      </c>
      <c r="F167" s="12"/>
      <c r="G167" s="12"/>
      <c r="H167" s="90"/>
      <c r="I167" s="12">
        <f t="shared" ref="I167:J174" si="129">C167-F167</f>
        <v>0</v>
      </c>
      <c r="J167" s="12">
        <f t="shared" si="129"/>
        <v>0</v>
      </c>
      <c r="K167" s="90" t="e">
        <f t="shared" si="97"/>
        <v>#DIV/0!</v>
      </c>
      <c r="L167" s="129"/>
      <c r="M167" s="130"/>
      <c r="N167" s="93" t="e">
        <f t="shared" si="82"/>
        <v>#DIV/0!</v>
      </c>
      <c r="O167" s="95">
        <v>0</v>
      </c>
      <c r="P167" s="95">
        <v>0</v>
      </c>
      <c r="Q167" s="93">
        <v>0</v>
      </c>
    </row>
    <row r="168" ht="15.75" hidden="1" customHeight="1" outlineLevel="1">
      <c r="A168" s="11"/>
      <c r="B168" s="112" t="s">
        <v>150</v>
      </c>
      <c r="C168" s="12"/>
      <c r="D168" s="12"/>
      <c r="E168" s="90" t="e">
        <f t="shared" si="96"/>
        <v>#DIV/0!</v>
      </c>
      <c r="F168" s="12"/>
      <c r="G168" s="12"/>
      <c r="H168" s="90"/>
      <c r="I168" s="12">
        <f t="shared" si="129"/>
        <v>0</v>
      </c>
      <c r="J168" s="12">
        <f t="shared" si="129"/>
        <v>0</v>
      </c>
      <c r="K168" s="90" t="e">
        <f t="shared" si="97"/>
        <v>#DIV/0!</v>
      </c>
      <c r="L168" s="129"/>
      <c r="M168" s="130"/>
      <c r="N168" s="93" t="e">
        <f t="shared" si="82"/>
        <v>#DIV/0!</v>
      </c>
      <c r="O168" s="95">
        <v>0</v>
      </c>
      <c r="P168" s="95">
        <v>0</v>
      </c>
      <c r="Q168" s="93">
        <v>0</v>
      </c>
    </row>
    <row r="169" ht="15.75" hidden="1" customHeight="1" outlineLevel="1">
      <c r="A169" s="11"/>
      <c r="B169" s="11" t="s">
        <v>151</v>
      </c>
      <c r="C169" s="12"/>
      <c r="D169" s="12"/>
      <c r="E169" s="90" t="e">
        <f t="shared" si="96"/>
        <v>#DIV/0!</v>
      </c>
      <c r="F169" s="12"/>
      <c r="G169" s="12"/>
      <c r="H169" s="90"/>
      <c r="I169" s="12">
        <f t="shared" si="129"/>
        <v>0</v>
      </c>
      <c r="J169" s="12">
        <f t="shared" si="129"/>
        <v>0</v>
      </c>
      <c r="K169" s="90" t="e">
        <f t="shared" si="97"/>
        <v>#DIV/0!</v>
      </c>
      <c r="L169" s="129"/>
      <c r="M169" s="130"/>
      <c r="N169" s="93" t="e">
        <f t="shared" si="82"/>
        <v>#DIV/0!</v>
      </c>
      <c r="O169" s="130"/>
      <c r="P169" s="130"/>
      <c r="Q169" s="93" t="e">
        <f t="shared" si="100"/>
        <v>#DIV/0!</v>
      </c>
    </row>
    <row r="170" ht="15.75" hidden="1" customHeight="1" outlineLevel="1">
      <c r="A170" s="11"/>
      <c r="B170" s="11" t="s">
        <v>152</v>
      </c>
      <c r="C170" s="12"/>
      <c r="D170" s="12"/>
      <c r="E170" s="90" t="e">
        <f t="shared" si="96"/>
        <v>#DIV/0!</v>
      </c>
      <c r="F170" s="12"/>
      <c r="G170" s="12"/>
      <c r="H170" s="90"/>
      <c r="I170" s="12">
        <f t="shared" si="129"/>
        <v>0</v>
      </c>
      <c r="J170" s="12">
        <f t="shared" si="129"/>
        <v>0</v>
      </c>
      <c r="K170" s="90" t="e">
        <f t="shared" si="97"/>
        <v>#DIV/0!</v>
      </c>
      <c r="L170" s="129"/>
      <c r="M170" s="130"/>
      <c r="N170" s="93" t="e">
        <f t="shared" ref="N170:N233" si="130">M170/L170*100%</f>
        <v>#DIV/0!</v>
      </c>
      <c r="O170" s="130"/>
      <c r="P170" s="130"/>
      <c r="Q170" s="93" t="e">
        <f t="shared" si="100"/>
        <v>#DIV/0!</v>
      </c>
    </row>
    <row r="171" ht="15.75" hidden="1" customHeight="1" outlineLevel="1">
      <c r="A171" s="11"/>
      <c r="B171" s="11" t="s">
        <v>153</v>
      </c>
      <c r="C171" s="12"/>
      <c r="D171" s="12"/>
      <c r="E171" s="90" t="e">
        <f t="shared" si="96"/>
        <v>#DIV/0!</v>
      </c>
      <c r="F171" s="12"/>
      <c r="G171" s="12"/>
      <c r="H171" s="90"/>
      <c r="I171" s="12">
        <f t="shared" si="129"/>
        <v>0</v>
      </c>
      <c r="J171" s="12">
        <f t="shared" si="129"/>
        <v>0</v>
      </c>
      <c r="K171" s="90" t="e">
        <f t="shared" si="97"/>
        <v>#DIV/0!</v>
      </c>
      <c r="L171" s="94"/>
      <c r="M171" s="95"/>
      <c r="N171" s="93" t="e">
        <f t="shared" si="130"/>
        <v>#DIV/0!</v>
      </c>
      <c r="O171" s="95"/>
      <c r="P171" s="130"/>
      <c r="Q171" s="93" t="e">
        <f t="shared" si="100"/>
        <v>#DIV/0!</v>
      </c>
    </row>
    <row r="172" ht="15.75" hidden="1" customHeight="1" outlineLevel="1">
      <c r="A172" s="11"/>
      <c r="B172" s="11" t="s">
        <v>154</v>
      </c>
      <c r="C172" s="12"/>
      <c r="D172" s="12"/>
      <c r="E172" s="90" t="e">
        <f t="shared" si="96"/>
        <v>#DIV/0!</v>
      </c>
      <c r="F172" s="12"/>
      <c r="G172" s="12"/>
      <c r="H172" s="90"/>
      <c r="I172" s="12">
        <f t="shared" si="129"/>
        <v>0</v>
      </c>
      <c r="J172" s="12">
        <f t="shared" si="129"/>
        <v>0</v>
      </c>
      <c r="K172" s="90" t="e">
        <f t="shared" si="97"/>
        <v>#DIV/0!</v>
      </c>
      <c r="L172" s="129"/>
      <c r="M172" s="130"/>
      <c r="N172" s="93" t="e">
        <f t="shared" si="130"/>
        <v>#DIV/0!</v>
      </c>
      <c r="O172" s="130"/>
      <c r="P172" s="130"/>
      <c r="Q172" s="93" t="e">
        <f t="shared" si="100"/>
        <v>#DIV/0!</v>
      </c>
    </row>
    <row r="173" ht="15.75" hidden="1" customHeight="1" outlineLevel="1">
      <c r="A173" s="11"/>
      <c r="B173" s="11" t="s">
        <v>155</v>
      </c>
      <c r="C173" s="12"/>
      <c r="D173" s="12"/>
      <c r="E173" s="90" t="e">
        <f t="shared" si="96"/>
        <v>#DIV/0!</v>
      </c>
      <c r="F173" s="12"/>
      <c r="G173" s="12"/>
      <c r="H173" s="90"/>
      <c r="I173" s="12">
        <f t="shared" si="129"/>
        <v>0</v>
      </c>
      <c r="J173" s="12">
        <f t="shared" si="129"/>
        <v>0</v>
      </c>
      <c r="K173" s="90" t="e">
        <f t="shared" si="97"/>
        <v>#DIV/0!</v>
      </c>
      <c r="L173" s="129"/>
      <c r="M173" s="95"/>
      <c r="N173" s="93" t="e">
        <f t="shared" si="130"/>
        <v>#DIV/0!</v>
      </c>
      <c r="O173" s="130"/>
      <c r="P173" s="130"/>
      <c r="Q173" s="93" t="e">
        <f t="shared" si="100"/>
        <v>#DIV/0!</v>
      </c>
    </row>
    <row r="174" ht="15.75" hidden="1" customHeight="1" outlineLevel="1">
      <c r="A174" s="11"/>
      <c r="B174" s="11" t="s">
        <v>156</v>
      </c>
      <c r="C174" s="12"/>
      <c r="D174" s="12"/>
      <c r="E174" s="90" t="e">
        <f t="shared" si="96"/>
        <v>#DIV/0!</v>
      </c>
      <c r="F174" s="96"/>
      <c r="G174" s="12"/>
      <c r="H174" s="90"/>
      <c r="I174" s="12">
        <f t="shared" si="129"/>
        <v>0</v>
      </c>
      <c r="J174" s="12">
        <f t="shared" si="129"/>
        <v>0</v>
      </c>
      <c r="K174" s="90" t="e">
        <f t="shared" si="97"/>
        <v>#DIV/0!</v>
      </c>
      <c r="L174" s="129"/>
      <c r="M174" s="130"/>
      <c r="N174" s="93" t="e">
        <f t="shared" si="130"/>
        <v>#DIV/0!</v>
      </c>
      <c r="O174" s="130"/>
      <c r="P174" s="95"/>
      <c r="Q174" s="93" t="e">
        <f t="shared" si="100"/>
        <v>#DIV/0!</v>
      </c>
    </row>
    <row r="175" ht="15.75" customHeight="1" collapsed="1">
      <c r="A175" s="88" t="s">
        <v>176</v>
      </c>
      <c r="B175" s="88" t="s">
        <v>148</v>
      </c>
      <c r="C175" s="89">
        <f t="shared" si="127"/>
        <v>0</v>
      </c>
      <c r="D175" s="89">
        <f t="shared" si="127"/>
        <v>0</v>
      </c>
      <c r="E175" s="90" t="e">
        <f t="shared" si="96"/>
        <v>#DIV/0!</v>
      </c>
      <c r="F175" s="89">
        <f t="shared" si="116"/>
        <v>0</v>
      </c>
      <c r="G175" s="89">
        <f t="shared" si="116"/>
        <v>0</v>
      </c>
      <c r="H175" s="90" t="e">
        <f t="shared" si="87"/>
        <v>#DIV/0!</v>
      </c>
      <c r="I175" s="89">
        <f t="shared" ref="I175:J175" si="131">SUM(I176:I183)</f>
        <v>0</v>
      </c>
      <c r="J175" s="89">
        <f t="shared" si="131"/>
        <v>0</v>
      </c>
      <c r="K175" s="90" t="e">
        <f t="shared" si="97"/>
        <v>#DIV/0!</v>
      </c>
      <c r="L175" s="91">
        <f t="shared" si="118"/>
        <v>0</v>
      </c>
      <c r="M175" s="92">
        <f t="shared" si="118"/>
        <v>0</v>
      </c>
      <c r="N175" s="93" t="e">
        <f t="shared" si="130"/>
        <v>#DIV/0!</v>
      </c>
      <c r="O175" s="92">
        <f t="shared" si="119"/>
        <v>0</v>
      </c>
      <c r="P175" s="92">
        <f t="shared" si="119"/>
        <v>0</v>
      </c>
      <c r="Q175" s="93" t="e">
        <f t="shared" si="100"/>
        <v>#DIV/0!</v>
      </c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</row>
    <row r="176" ht="15.75" hidden="1" customHeight="1" outlineLevel="1">
      <c r="A176" s="11"/>
      <c r="B176" s="11" t="s">
        <v>149</v>
      </c>
      <c r="C176" s="12"/>
      <c r="D176" s="12"/>
      <c r="E176" s="90" t="e">
        <f t="shared" si="96"/>
        <v>#DIV/0!</v>
      </c>
      <c r="F176" s="12"/>
      <c r="G176" s="12"/>
      <c r="H176" s="90"/>
      <c r="I176" s="12">
        <f t="shared" ref="I176:J183" si="132">C176-F176</f>
        <v>0</v>
      </c>
      <c r="J176" s="12">
        <f t="shared" si="132"/>
        <v>0</v>
      </c>
      <c r="K176" s="90" t="e">
        <f t="shared" si="97"/>
        <v>#DIV/0!</v>
      </c>
      <c r="L176" s="129"/>
      <c r="M176" s="130"/>
      <c r="N176" s="93" t="e">
        <f t="shared" si="130"/>
        <v>#DIV/0!</v>
      </c>
      <c r="O176" s="95">
        <v>0</v>
      </c>
      <c r="P176" s="95">
        <v>0</v>
      </c>
      <c r="Q176" s="93">
        <v>0</v>
      </c>
    </row>
    <row r="177" ht="15.75" hidden="1" customHeight="1" outlineLevel="1">
      <c r="A177" s="11"/>
      <c r="B177" s="112" t="s">
        <v>150</v>
      </c>
      <c r="C177" s="12"/>
      <c r="D177" s="12"/>
      <c r="E177" s="90" t="e">
        <f t="shared" si="96"/>
        <v>#DIV/0!</v>
      </c>
      <c r="F177" s="12"/>
      <c r="G177" s="12"/>
      <c r="H177" s="90"/>
      <c r="I177" s="12">
        <f t="shared" si="132"/>
        <v>0</v>
      </c>
      <c r="J177" s="12">
        <f t="shared" si="132"/>
        <v>0</v>
      </c>
      <c r="K177" s="90" t="e">
        <f t="shared" si="97"/>
        <v>#DIV/0!</v>
      </c>
      <c r="L177" s="129"/>
      <c r="M177" s="130"/>
      <c r="N177" s="93" t="e">
        <f t="shared" si="130"/>
        <v>#DIV/0!</v>
      </c>
      <c r="O177" s="95">
        <v>0</v>
      </c>
      <c r="P177" s="95">
        <v>0</v>
      </c>
      <c r="Q177" s="93">
        <v>0</v>
      </c>
    </row>
    <row r="178" ht="15.75" hidden="1" customHeight="1" outlineLevel="1">
      <c r="A178" s="11"/>
      <c r="B178" s="11" t="s">
        <v>151</v>
      </c>
      <c r="C178" s="12"/>
      <c r="D178" s="12"/>
      <c r="E178" s="90" t="e">
        <f t="shared" si="96"/>
        <v>#DIV/0!</v>
      </c>
      <c r="F178" s="12"/>
      <c r="G178" s="12"/>
      <c r="H178" s="90"/>
      <c r="I178" s="12">
        <f t="shared" si="132"/>
        <v>0</v>
      </c>
      <c r="J178" s="12">
        <f t="shared" si="132"/>
        <v>0</v>
      </c>
      <c r="K178" s="90" t="e">
        <f t="shared" si="97"/>
        <v>#DIV/0!</v>
      </c>
      <c r="L178" s="129"/>
      <c r="M178" s="130"/>
      <c r="N178" s="93" t="e">
        <f t="shared" si="130"/>
        <v>#DIV/0!</v>
      </c>
      <c r="O178" s="130"/>
      <c r="P178" s="130"/>
      <c r="Q178" s="93" t="e">
        <f t="shared" si="100"/>
        <v>#DIV/0!</v>
      </c>
    </row>
    <row r="179" ht="15.75" hidden="1" customHeight="1" outlineLevel="1">
      <c r="A179" s="11"/>
      <c r="B179" s="11" t="s">
        <v>152</v>
      </c>
      <c r="C179" s="12"/>
      <c r="D179" s="12"/>
      <c r="E179" s="90" t="e">
        <f t="shared" si="96"/>
        <v>#DIV/0!</v>
      </c>
      <c r="F179" s="12"/>
      <c r="G179" s="12"/>
      <c r="H179" s="90"/>
      <c r="I179" s="12">
        <f t="shared" si="132"/>
        <v>0</v>
      </c>
      <c r="J179" s="12">
        <f t="shared" si="132"/>
        <v>0</v>
      </c>
      <c r="K179" s="90" t="e">
        <f t="shared" si="97"/>
        <v>#DIV/0!</v>
      </c>
      <c r="L179" s="129"/>
      <c r="M179" s="130"/>
      <c r="N179" s="93" t="e">
        <f t="shared" si="130"/>
        <v>#DIV/0!</v>
      </c>
      <c r="O179" s="130"/>
      <c r="P179" s="130"/>
      <c r="Q179" s="93" t="e">
        <f t="shared" si="100"/>
        <v>#DIV/0!</v>
      </c>
    </row>
    <row r="180" ht="15.75" hidden="1" customHeight="1" outlineLevel="1">
      <c r="A180" s="11"/>
      <c r="B180" s="11" t="s">
        <v>153</v>
      </c>
      <c r="C180" s="12"/>
      <c r="D180" s="12"/>
      <c r="E180" s="90" t="e">
        <f t="shared" si="96"/>
        <v>#DIV/0!</v>
      </c>
      <c r="F180" s="12"/>
      <c r="G180" s="12"/>
      <c r="H180" s="90"/>
      <c r="I180" s="12">
        <f t="shared" si="132"/>
        <v>0</v>
      </c>
      <c r="J180" s="12">
        <f t="shared" si="132"/>
        <v>0</v>
      </c>
      <c r="K180" s="90" t="e">
        <f t="shared" si="97"/>
        <v>#DIV/0!</v>
      </c>
      <c r="L180" s="94"/>
      <c r="M180" s="95"/>
      <c r="N180" s="93" t="e">
        <f t="shared" si="130"/>
        <v>#DIV/0!</v>
      </c>
      <c r="O180" s="95"/>
      <c r="P180" s="130"/>
      <c r="Q180" s="93" t="e">
        <f t="shared" si="100"/>
        <v>#DIV/0!</v>
      </c>
    </row>
    <row r="181" ht="15.75" hidden="1" customHeight="1" outlineLevel="1">
      <c r="A181" s="11"/>
      <c r="B181" s="11" t="s">
        <v>154</v>
      </c>
      <c r="C181" s="12"/>
      <c r="D181" s="12"/>
      <c r="E181" s="90" t="e">
        <f t="shared" si="96"/>
        <v>#DIV/0!</v>
      </c>
      <c r="F181" s="12"/>
      <c r="G181" s="12"/>
      <c r="H181" s="90"/>
      <c r="I181" s="12">
        <f t="shared" si="132"/>
        <v>0</v>
      </c>
      <c r="J181" s="12">
        <f t="shared" si="132"/>
        <v>0</v>
      </c>
      <c r="K181" s="90" t="e">
        <f t="shared" si="97"/>
        <v>#DIV/0!</v>
      </c>
      <c r="L181" s="129"/>
      <c r="M181" s="130"/>
      <c r="N181" s="93" t="e">
        <f t="shared" si="130"/>
        <v>#DIV/0!</v>
      </c>
      <c r="O181" s="130"/>
      <c r="P181" s="130"/>
      <c r="Q181" s="93" t="e">
        <f t="shared" si="100"/>
        <v>#DIV/0!</v>
      </c>
    </row>
    <row r="182" ht="15.75" hidden="1" customHeight="1" outlineLevel="1">
      <c r="A182" s="11"/>
      <c r="B182" s="11" t="s">
        <v>155</v>
      </c>
      <c r="C182" s="12"/>
      <c r="D182" s="12"/>
      <c r="E182" s="90" t="e">
        <f t="shared" si="96"/>
        <v>#DIV/0!</v>
      </c>
      <c r="F182" s="12"/>
      <c r="G182" s="12"/>
      <c r="H182" s="90"/>
      <c r="I182" s="12">
        <f t="shared" si="132"/>
        <v>0</v>
      </c>
      <c r="J182" s="12">
        <f t="shared" si="132"/>
        <v>0</v>
      </c>
      <c r="K182" s="90" t="e">
        <f t="shared" si="97"/>
        <v>#DIV/0!</v>
      </c>
      <c r="L182" s="129"/>
      <c r="M182" s="95"/>
      <c r="N182" s="93" t="e">
        <f t="shared" si="130"/>
        <v>#DIV/0!</v>
      </c>
      <c r="O182" s="130"/>
      <c r="P182" s="130"/>
      <c r="Q182" s="93" t="e">
        <f t="shared" si="100"/>
        <v>#DIV/0!</v>
      </c>
    </row>
    <row r="183" ht="15.75" hidden="1" customHeight="1" outlineLevel="1">
      <c r="A183" s="11"/>
      <c r="B183" s="11" t="s">
        <v>156</v>
      </c>
      <c r="C183" s="12"/>
      <c r="D183" s="12"/>
      <c r="E183" s="90" t="e">
        <f t="shared" si="96"/>
        <v>#DIV/0!</v>
      </c>
      <c r="F183" s="96"/>
      <c r="G183" s="12"/>
      <c r="H183" s="90"/>
      <c r="I183" s="12">
        <f t="shared" si="132"/>
        <v>0</v>
      </c>
      <c r="J183" s="12">
        <f t="shared" si="132"/>
        <v>0</v>
      </c>
      <c r="K183" s="90" t="e">
        <f t="shared" si="97"/>
        <v>#DIV/0!</v>
      </c>
      <c r="L183" s="129"/>
      <c r="M183" s="130"/>
      <c r="N183" s="93" t="e">
        <f t="shared" si="130"/>
        <v>#DIV/0!</v>
      </c>
      <c r="O183" s="130"/>
      <c r="P183" s="95"/>
      <c r="Q183" s="93" t="e">
        <f t="shared" si="100"/>
        <v>#DIV/0!</v>
      </c>
    </row>
    <row r="184" ht="15.75" customHeight="1" collapsed="1">
      <c r="A184" s="88" t="s">
        <v>177</v>
      </c>
      <c r="B184" s="88" t="s">
        <v>148</v>
      </c>
      <c r="C184" s="89">
        <f t="shared" si="127"/>
        <v>0</v>
      </c>
      <c r="D184" s="89">
        <f t="shared" si="127"/>
        <v>0</v>
      </c>
      <c r="E184" s="90" t="e">
        <f t="shared" si="96"/>
        <v>#DIV/0!</v>
      </c>
      <c r="F184" s="89">
        <f t="shared" si="116"/>
        <v>0</v>
      </c>
      <c r="G184" s="89">
        <f t="shared" si="116"/>
        <v>0</v>
      </c>
      <c r="H184" s="90" t="e">
        <f t="shared" si="87"/>
        <v>#DIV/0!</v>
      </c>
      <c r="I184" s="89">
        <f t="shared" ref="I184:J184" si="133">SUM(I185:I192)</f>
        <v>0</v>
      </c>
      <c r="J184" s="89">
        <f t="shared" si="133"/>
        <v>0</v>
      </c>
      <c r="K184" s="90" t="e">
        <f t="shared" si="97"/>
        <v>#DIV/0!</v>
      </c>
      <c r="L184" s="91">
        <f t="shared" si="118"/>
        <v>0</v>
      </c>
      <c r="M184" s="92">
        <f t="shared" si="118"/>
        <v>0</v>
      </c>
      <c r="N184" s="93" t="e">
        <f t="shared" si="130"/>
        <v>#DIV/0!</v>
      </c>
      <c r="O184" s="92">
        <f t="shared" si="119"/>
        <v>0</v>
      </c>
      <c r="P184" s="92">
        <f t="shared" si="119"/>
        <v>0</v>
      </c>
      <c r="Q184" s="93" t="e">
        <f t="shared" si="100"/>
        <v>#DIV/0!</v>
      </c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</row>
    <row r="185" ht="15.75" hidden="1" customHeight="1" outlineLevel="1">
      <c r="A185" s="11"/>
      <c r="B185" s="11" t="s">
        <v>149</v>
      </c>
      <c r="C185" s="12"/>
      <c r="D185" s="12"/>
      <c r="E185" s="90" t="e">
        <f t="shared" si="96"/>
        <v>#DIV/0!</v>
      </c>
      <c r="F185" s="12"/>
      <c r="G185" s="12"/>
      <c r="H185" s="90"/>
      <c r="I185" s="12">
        <f t="shared" ref="I185:J192" si="134">C185-F185</f>
        <v>0</v>
      </c>
      <c r="J185" s="12">
        <f t="shared" si="134"/>
        <v>0</v>
      </c>
      <c r="K185" s="90" t="e">
        <f t="shared" si="97"/>
        <v>#DIV/0!</v>
      </c>
      <c r="L185" s="129"/>
      <c r="M185" s="130"/>
      <c r="N185" s="93" t="e">
        <f t="shared" si="130"/>
        <v>#DIV/0!</v>
      </c>
      <c r="O185" s="95">
        <v>0</v>
      </c>
      <c r="P185" s="95">
        <v>0</v>
      </c>
      <c r="Q185" s="93">
        <v>0</v>
      </c>
    </row>
    <row r="186" ht="15.75" hidden="1" customHeight="1" outlineLevel="1">
      <c r="A186" s="11"/>
      <c r="B186" s="112" t="s">
        <v>150</v>
      </c>
      <c r="C186" s="12"/>
      <c r="D186" s="12"/>
      <c r="E186" s="90" t="e">
        <f t="shared" si="96"/>
        <v>#DIV/0!</v>
      </c>
      <c r="F186" s="12"/>
      <c r="G186" s="12"/>
      <c r="H186" s="90"/>
      <c r="I186" s="12">
        <f t="shared" si="134"/>
        <v>0</v>
      </c>
      <c r="J186" s="12">
        <f t="shared" si="134"/>
        <v>0</v>
      </c>
      <c r="K186" s="90" t="e">
        <f t="shared" si="97"/>
        <v>#DIV/0!</v>
      </c>
      <c r="L186" s="129"/>
      <c r="M186" s="130"/>
      <c r="N186" s="93" t="e">
        <f t="shared" si="130"/>
        <v>#DIV/0!</v>
      </c>
      <c r="O186" s="95">
        <v>0</v>
      </c>
      <c r="P186" s="95">
        <v>0</v>
      </c>
      <c r="Q186" s="93">
        <v>0</v>
      </c>
    </row>
    <row r="187" ht="15.75" hidden="1" customHeight="1" outlineLevel="1">
      <c r="A187" s="11"/>
      <c r="B187" s="11" t="s">
        <v>151</v>
      </c>
      <c r="C187" s="12"/>
      <c r="D187" s="12"/>
      <c r="E187" s="90" t="e">
        <f t="shared" si="96"/>
        <v>#DIV/0!</v>
      </c>
      <c r="F187" s="12"/>
      <c r="G187" s="12"/>
      <c r="H187" s="90"/>
      <c r="I187" s="12">
        <f t="shared" si="134"/>
        <v>0</v>
      </c>
      <c r="J187" s="12">
        <f t="shared" si="134"/>
        <v>0</v>
      </c>
      <c r="K187" s="90" t="e">
        <f t="shared" si="97"/>
        <v>#DIV/0!</v>
      </c>
      <c r="L187" s="129"/>
      <c r="M187" s="130"/>
      <c r="N187" s="93" t="e">
        <f t="shared" si="130"/>
        <v>#DIV/0!</v>
      </c>
      <c r="O187" s="130"/>
      <c r="P187" s="130"/>
      <c r="Q187" s="93" t="e">
        <f t="shared" si="100"/>
        <v>#DIV/0!</v>
      </c>
    </row>
    <row r="188" ht="15.75" hidden="1" customHeight="1" outlineLevel="1">
      <c r="A188" s="11"/>
      <c r="B188" s="11" t="s">
        <v>152</v>
      </c>
      <c r="C188" s="12"/>
      <c r="D188" s="12"/>
      <c r="E188" s="90" t="e">
        <f t="shared" ref="E188:E251" si="135">D188/C188*100%</f>
        <v>#DIV/0!</v>
      </c>
      <c r="F188" s="12"/>
      <c r="G188" s="12"/>
      <c r="H188" s="90"/>
      <c r="I188" s="12">
        <f t="shared" si="134"/>
        <v>0</v>
      </c>
      <c r="J188" s="12">
        <f t="shared" si="134"/>
        <v>0</v>
      </c>
      <c r="K188" s="90" t="e">
        <f t="shared" ref="K188:K251" si="136">J188/I188*100%</f>
        <v>#DIV/0!</v>
      </c>
      <c r="L188" s="129"/>
      <c r="M188" s="130"/>
      <c r="N188" s="93" t="e">
        <f t="shared" si="130"/>
        <v>#DIV/0!</v>
      </c>
      <c r="O188" s="130"/>
      <c r="P188" s="95"/>
      <c r="Q188" s="93" t="e">
        <f t="shared" si="100"/>
        <v>#DIV/0!</v>
      </c>
    </row>
    <row r="189" ht="15.75" hidden="1" customHeight="1" outlineLevel="1">
      <c r="A189" s="11"/>
      <c r="B189" s="11" t="s">
        <v>153</v>
      </c>
      <c r="C189" s="12"/>
      <c r="D189" s="12"/>
      <c r="E189" s="90" t="e">
        <f t="shared" si="135"/>
        <v>#DIV/0!</v>
      </c>
      <c r="F189" s="12"/>
      <c r="G189" s="12"/>
      <c r="H189" s="90"/>
      <c r="I189" s="12">
        <f t="shared" si="134"/>
        <v>0</v>
      </c>
      <c r="J189" s="12">
        <f t="shared" si="134"/>
        <v>0</v>
      </c>
      <c r="K189" s="90" t="e">
        <f t="shared" si="136"/>
        <v>#DIV/0!</v>
      </c>
      <c r="L189" s="94"/>
      <c r="M189" s="95"/>
      <c r="N189" s="93" t="e">
        <f t="shared" si="130"/>
        <v>#DIV/0!</v>
      </c>
      <c r="O189" s="95"/>
      <c r="P189" s="130"/>
      <c r="Q189" s="93" t="e">
        <f t="shared" si="100"/>
        <v>#DIV/0!</v>
      </c>
    </row>
    <row r="190" ht="15.75" hidden="1" customHeight="1" outlineLevel="1">
      <c r="A190" s="11"/>
      <c r="B190" s="11" t="s">
        <v>154</v>
      </c>
      <c r="C190" s="12"/>
      <c r="D190" s="12"/>
      <c r="E190" s="90" t="e">
        <f t="shared" si="135"/>
        <v>#DIV/0!</v>
      </c>
      <c r="F190" s="12"/>
      <c r="G190" s="12"/>
      <c r="H190" s="90"/>
      <c r="I190" s="12">
        <f t="shared" si="134"/>
        <v>0</v>
      </c>
      <c r="J190" s="12">
        <f t="shared" si="134"/>
        <v>0</v>
      </c>
      <c r="K190" s="90" t="e">
        <f t="shared" si="136"/>
        <v>#DIV/0!</v>
      </c>
      <c r="L190" s="129"/>
      <c r="M190" s="130"/>
      <c r="N190" s="93" t="e">
        <f t="shared" si="130"/>
        <v>#DIV/0!</v>
      </c>
      <c r="O190" s="130"/>
      <c r="P190" s="130"/>
      <c r="Q190" s="93" t="e">
        <f t="shared" si="100"/>
        <v>#DIV/0!</v>
      </c>
    </row>
    <row r="191" ht="15.75" hidden="1" customHeight="1" outlineLevel="1">
      <c r="A191" s="11"/>
      <c r="B191" s="11" t="s">
        <v>155</v>
      </c>
      <c r="C191" s="12"/>
      <c r="D191" s="12"/>
      <c r="E191" s="90" t="e">
        <f t="shared" si="135"/>
        <v>#DIV/0!</v>
      </c>
      <c r="F191" s="12"/>
      <c r="G191" s="12"/>
      <c r="H191" s="90"/>
      <c r="I191" s="12">
        <f t="shared" si="134"/>
        <v>0</v>
      </c>
      <c r="J191" s="12">
        <f t="shared" si="134"/>
        <v>0</v>
      </c>
      <c r="K191" s="90" t="e">
        <f t="shared" si="136"/>
        <v>#DIV/0!</v>
      </c>
      <c r="L191" s="129"/>
      <c r="M191" s="95"/>
      <c r="N191" s="93" t="e">
        <f t="shared" si="130"/>
        <v>#DIV/0!</v>
      </c>
      <c r="O191" s="130"/>
      <c r="P191" s="130"/>
      <c r="Q191" s="93" t="e">
        <f t="shared" ref="Q191:Q254" si="137">P191/O191*100%</f>
        <v>#DIV/0!</v>
      </c>
    </row>
    <row r="192" ht="15.75" hidden="1" customHeight="1" outlineLevel="1">
      <c r="A192" s="11"/>
      <c r="B192" s="11" t="s">
        <v>156</v>
      </c>
      <c r="C192" s="12"/>
      <c r="D192" s="12"/>
      <c r="E192" s="90" t="e">
        <f t="shared" si="135"/>
        <v>#DIV/0!</v>
      </c>
      <c r="F192" s="96"/>
      <c r="G192" s="12"/>
      <c r="H192" s="90"/>
      <c r="I192" s="12">
        <f t="shared" si="134"/>
        <v>0</v>
      </c>
      <c r="J192" s="12">
        <f t="shared" si="134"/>
        <v>0</v>
      </c>
      <c r="K192" s="90" t="e">
        <f t="shared" si="136"/>
        <v>#DIV/0!</v>
      </c>
      <c r="L192" s="129"/>
      <c r="M192" s="130"/>
      <c r="N192" s="93" t="e">
        <f t="shared" si="130"/>
        <v>#DIV/0!</v>
      </c>
      <c r="O192" s="130"/>
      <c r="P192" s="95"/>
      <c r="Q192" s="93" t="e">
        <f t="shared" si="137"/>
        <v>#DIV/0!</v>
      </c>
    </row>
    <row r="193" ht="15.75" customHeight="1" collapsed="1">
      <c r="A193" s="97" t="s">
        <v>178</v>
      </c>
      <c r="B193" s="97" t="s">
        <v>148</v>
      </c>
      <c r="C193" s="99" t="e">
        <f t="shared" si="127"/>
        <v>#NUM!</v>
      </c>
      <c r="D193" s="99">
        <f t="shared" si="127"/>
        <v>61.549999999999997</v>
      </c>
      <c r="E193" s="100" t="e">
        <f t="shared" si="135"/>
        <v>#NUM!</v>
      </c>
      <c r="F193" s="89" t="e">
        <f t="shared" si="116"/>
        <v>#NUM!</v>
      </c>
      <c r="G193" s="89">
        <f t="shared" si="116"/>
        <v>1.5</v>
      </c>
      <c r="H193" s="90" t="e">
        <f t="shared" ref="H185:H248" si="138">G193/F193*100%</f>
        <v>#NUM!</v>
      </c>
      <c r="I193" s="99" t="e">
        <f t="shared" ref="I193:J193" si="139">SUM(I194:I201)</f>
        <v>#NUM!</v>
      </c>
      <c r="J193" s="99">
        <f t="shared" si="139"/>
        <v>60.049999999999997</v>
      </c>
      <c r="K193" s="100" t="e">
        <f t="shared" si="136"/>
        <v>#NUM!</v>
      </c>
      <c r="L193" s="101">
        <f t="shared" si="118"/>
        <v>42.338333333333331</v>
      </c>
      <c r="M193" s="102">
        <f t="shared" si="118"/>
        <v>7</v>
      </c>
      <c r="N193" s="103">
        <f t="shared" si="130"/>
        <v>0.16533480297602646</v>
      </c>
      <c r="O193" s="104">
        <f t="shared" si="119"/>
        <v>8.8383333333333329</v>
      </c>
      <c r="P193" s="102">
        <f t="shared" si="119"/>
        <v>6</v>
      </c>
      <c r="Q193" s="103">
        <f t="shared" si="137"/>
        <v>0.67886102206298327</v>
      </c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</row>
    <row r="194" ht="15.75" hidden="1" customHeight="1" outlineLevel="1">
      <c r="A194" s="97"/>
      <c r="B194" s="106" t="s">
        <v>149</v>
      </c>
      <c r="C194" s="107">
        <f t="shared" ref="C194:C201" si="140">AVERAGE(C140,C158,C149,C167,C176,C185)</f>
        <v>108.5</v>
      </c>
      <c r="D194" s="108">
        <f t="shared" ref="D194:D201" si="141">D185+D176+D167+D158+D149+D140</f>
        <v>10</v>
      </c>
      <c r="E194" s="100">
        <f t="shared" si="135"/>
        <v>0.092165898617511524</v>
      </c>
      <c r="F194" s="107" t="e">
        <f t="shared" ref="F194:F195" si="142">AVERAGE(F140,F158,F149,F167,F176,F185)</f>
        <v>#NUM!</v>
      </c>
      <c r="G194" s="108">
        <f t="shared" ref="G194:G195" si="143">G185+G176+G167+G158+G149+G140</f>
        <v>0</v>
      </c>
      <c r="H194" s="100" t="e">
        <f t="shared" si="138"/>
        <v>#NUM!</v>
      </c>
      <c r="I194" s="108" t="e">
        <f t="shared" ref="I194:J201" si="144">C194-F194</f>
        <v>#NUM!</v>
      </c>
      <c r="J194" s="108">
        <f t="shared" si="144"/>
        <v>10</v>
      </c>
      <c r="K194" s="100" t="e">
        <f t="shared" si="136"/>
        <v>#NUM!</v>
      </c>
      <c r="L194" s="109">
        <f t="shared" ref="L194:L201" si="145">AVERAGE(L140,L158,L149,L167,L176,L185)</f>
        <v>4</v>
      </c>
      <c r="M194" s="110">
        <f t="shared" ref="M194:M201" si="146">M185+M176+M167+M158+M149+M140</f>
        <v>0</v>
      </c>
      <c r="N194" s="103">
        <f t="shared" si="130"/>
        <v>0</v>
      </c>
      <c r="O194" s="111">
        <f t="shared" ref="O194:O201" si="147">AVERAGE(O140,O158,O149,O167,O176,O185)</f>
        <v>0</v>
      </c>
      <c r="P194" s="110">
        <f t="shared" ref="P194:P201" si="148">P185+P176+P167+P158+P149+P140</f>
        <v>0</v>
      </c>
      <c r="Q194" s="103" t="e">
        <f t="shared" si="137"/>
        <v>#DIV/0!</v>
      </c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</row>
    <row r="195" ht="15.75" hidden="1" customHeight="1" outlineLevel="1">
      <c r="A195" s="97"/>
      <c r="B195" s="106" t="s">
        <v>150</v>
      </c>
      <c r="C195" s="107" t="e">
        <f t="shared" si="140"/>
        <v>#NUM!</v>
      </c>
      <c r="D195" s="108">
        <f t="shared" si="141"/>
        <v>0</v>
      </c>
      <c r="E195" s="100" t="e">
        <f t="shared" si="135"/>
        <v>#NUM!</v>
      </c>
      <c r="F195" s="107" t="e">
        <f t="shared" si="142"/>
        <v>#NUM!</v>
      </c>
      <c r="G195" s="108">
        <f t="shared" si="143"/>
        <v>0</v>
      </c>
      <c r="H195" s="100" t="e">
        <f t="shared" si="138"/>
        <v>#NUM!</v>
      </c>
      <c r="I195" s="108" t="e">
        <f t="shared" si="144"/>
        <v>#NUM!</v>
      </c>
      <c r="J195" s="108">
        <f t="shared" si="144"/>
        <v>0</v>
      </c>
      <c r="K195" s="100" t="e">
        <f t="shared" si="136"/>
        <v>#NUM!</v>
      </c>
      <c r="L195" s="109">
        <f t="shared" si="145"/>
        <v>0.33333333333333331</v>
      </c>
      <c r="M195" s="110">
        <f t="shared" si="146"/>
        <v>0</v>
      </c>
      <c r="N195" s="103">
        <f t="shared" si="130"/>
        <v>0</v>
      </c>
      <c r="O195" s="111">
        <f t="shared" si="147"/>
        <v>0.83333333333333337</v>
      </c>
      <c r="P195" s="110">
        <f t="shared" si="148"/>
        <v>0</v>
      </c>
      <c r="Q195" s="103">
        <f t="shared" si="137"/>
        <v>0</v>
      </c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</row>
    <row r="196" ht="15.75" hidden="1" customHeight="1" outlineLevel="1">
      <c r="A196" s="97"/>
      <c r="B196" s="106" t="s">
        <v>151</v>
      </c>
      <c r="C196" s="107">
        <f t="shared" si="140"/>
        <v>140.10333333333332</v>
      </c>
      <c r="D196" s="108">
        <f t="shared" si="141"/>
        <v>14.75</v>
      </c>
      <c r="E196" s="100">
        <f t="shared" si="135"/>
        <v>0.10527943660631439</v>
      </c>
      <c r="F196" s="107">
        <f>AVERAGE(F277,F160,F151,F169,F178,F187)</f>
        <v>72.230000000000004</v>
      </c>
      <c r="G196" s="108">
        <f>G187+G178+G169+G160+G151+G277</f>
        <v>1.5</v>
      </c>
      <c r="H196" s="100">
        <f t="shared" si="138"/>
        <v>0.020766994323688216</v>
      </c>
      <c r="I196" s="107">
        <f t="shared" si="144"/>
        <v>67.873333333333321</v>
      </c>
      <c r="J196" s="108">
        <f t="shared" si="144"/>
        <v>13.25</v>
      </c>
      <c r="K196" s="100">
        <f t="shared" si="136"/>
        <v>0.1952165799037423</v>
      </c>
      <c r="L196" s="109">
        <f t="shared" si="145"/>
        <v>8.9033333333333342</v>
      </c>
      <c r="M196" s="110">
        <f t="shared" si="146"/>
        <v>3</v>
      </c>
      <c r="N196" s="103">
        <f t="shared" si="130"/>
        <v>0.3369524522650692</v>
      </c>
      <c r="O196" s="111">
        <f t="shared" si="147"/>
        <v>4.666666666666667</v>
      </c>
      <c r="P196" s="110">
        <f t="shared" si="148"/>
        <v>6</v>
      </c>
      <c r="Q196" s="103">
        <f t="shared" si="137"/>
        <v>1.2857142857142856</v>
      </c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</row>
    <row r="197" ht="15.75" hidden="1" customHeight="1" outlineLevel="1">
      <c r="A197" s="97"/>
      <c r="B197" s="106" t="s">
        <v>152</v>
      </c>
      <c r="C197" s="107">
        <f t="shared" si="140"/>
        <v>109.86</v>
      </c>
      <c r="D197" s="108">
        <f t="shared" si="141"/>
        <v>3.5</v>
      </c>
      <c r="E197" s="100">
        <f t="shared" si="135"/>
        <v>0.031858729291825962</v>
      </c>
      <c r="F197" s="107" t="e">
        <f t="shared" ref="F197:F200" si="149">AVERAGE(F143,F161,F152,F170,F179,F188)</f>
        <v>#NUM!</v>
      </c>
      <c r="G197" s="108">
        <f t="shared" ref="G197:G201" si="150">G188+G179+G170+G161+G152+G143</f>
        <v>0</v>
      </c>
      <c r="H197" s="100" t="e">
        <f t="shared" si="138"/>
        <v>#NUM!</v>
      </c>
      <c r="I197" s="108" t="e">
        <f t="shared" si="144"/>
        <v>#NUM!</v>
      </c>
      <c r="J197" s="108">
        <f t="shared" si="144"/>
        <v>3.5</v>
      </c>
      <c r="K197" s="100" t="e">
        <f t="shared" si="136"/>
        <v>#NUM!</v>
      </c>
      <c r="L197" s="109">
        <f t="shared" si="145"/>
        <v>8.0600000000000005</v>
      </c>
      <c r="M197" s="110">
        <f t="shared" si="146"/>
        <v>1</v>
      </c>
      <c r="N197" s="103">
        <f t="shared" si="130"/>
        <v>0.12406947890818858</v>
      </c>
      <c r="O197" s="111">
        <f t="shared" si="147"/>
        <v>0.33333333333333331</v>
      </c>
      <c r="P197" s="110">
        <f t="shared" si="148"/>
        <v>0</v>
      </c>
      <c r="Q197" s="103">
        <f t="shared" si="137"/>
        <v>0</v>
      </c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</row>
    <row r="198" ht="15.75" hidden="1" customHeight="1" outlineLevel="1">
      <c r="A198" s="97"/>
      <c r="B198" s="106" t="s">
        <v>153</v>
      </c>
      <c r="C198" s="107">
        <f t="shared" si="140"/>
        <v>112.755</v>
      </c>
      <c r="D198" s="108">
        <f t="shared" si="141"/>
        <v>13</v>
      </c>
      <c r="E198" s="100">
        <f t="shared" si="135"/>
        <v>0.11529422198572126</v>
      </c>
      <c r="F198" s="107" t="e">
        <f t="shared" si="149"/>
        <v>#NUM!</v>
      </c>
      <c r="G198" s="108">
        <f t="shared" si="150"/>
        <v>0</v>
      </c>
      <c r="H198" s="100" t="e">
        <f t="shared" si="138"/>
        <v>#NUM!</v>
      </c>
      <c r="I198" s="108" t="e">
        <f t="shared" si="144"/>
        <v>#NUM!</v>
      </c>
      <c r="J198" s="108">
        <f t="shared" si="144"/>
        <v>13</v>
      </c>
      <c r="K198" s="100" t="e">
        <f t="shared" si="136"/>
        <v>#NUM!</v>
      </c>
      <c r="L198" s="109">
        <f t="shared" si="145"/>
        <v>7.0199999999999996</v>
      </c>
      <c r="M198" s="110">
        <f t="shared" si="146"/>
        <v>1</v>
      </c>
      <c r="N198" s="103">
        <f t="shared" si="130"/>
        <v>0.14245014245014245</v>
      </c>
      <c r="O198" s="111">
        <f t="shared" si="147"/>
        <v>1.0050000000000001</v>
      </c>
      <c r="P198" s="110">
        <f t="shared" si="148"/>
        <v>0</v>
      </c>
      <c r="Q198" s="103">
        <f t="shared" si="137"/>
        <v>0</v>
      </c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</row>
    <row r="199" ht="15.75" hidden="1" customHeight="1" outlineLevel="1">
      <c r="A199" s="97"/>
      <c r="B199" s="106" t="s">
        <v>154</v>
      </c>
      <c r="C199" s="107">
        <f t="shared" si="140"/>
        <v>115.05500000000001</v>
      </c>
      <c r="D199" s="108">
        <f t="shared" si="141"/>
        <v>8</v>
      </c>
      <c r="E199" s="100">
        <f t="shared" si="135"/>
        <v>0.069531962974229714</v>
      </c>
      <c r="F199" s="107" t="e">
        <f t="shared" si="149"/>
        <v>#NUM!</v>
      </c>
      <c r="G199" s="108">
        <f t="shared" si="150"/>
        <v>0</v>
      </c>
      <c r="H199" s="100" t="e">
        <f t="shared" si="138"/>
        <v>#NUM!</v>
      </c>
      <c r="I199" s="108" t="e">
        <f t="shared" si="144"/>
        <v>#NUM!</v>
      </c>
      <c r="J199" s="108">
        <f t="shared" si="144"/>
        <v>8</v>
      </c>
      <c r="K199" s="100" t="e">
        <f t="shared" si="136"/>
        <v>#NUM!</v>
      </c>
      <c r="L199" s="109">
        <f t="shared" si="145"/>
        <v>5.8566666666666665</v>
      </c>
      <c r="M199" s="110">
        <f t="shared" si="146"/>
        <v>1</v>
      </c>
      <c r="N199" s="103">
        <f t="shared" si="130"/>
        <v>0.17074558907228229</v>
      </c>
      <c r="O199" s="111">
        <f t="shared" si="147"/>
        <v>2</v>
      </c>
      <c r="P199" s="110">
        <f t="shared" si="148"/>
        <v>0</v>
      </c>
      <c r="Q199" s="103">
        <f t="shared" si="137"/>
        <v>0</v>
      </c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</row>
    <row r="200" ht="15.75" hidden="1" customHeight="1" outlineLevel="1">
      <c r="A200" s="97"/>
      <c r="B200" s="106" t="s">
        <v>155</v>
      </c>
      <c r="C200" s="107">
        <f t="shared" si="140"/>
        <v>72.545000000000002</v>
      </c>
      <c r="D200" s="108">
        <f t="shared" si="141"/>
        <v>9</v>
      </c>
      <c r="E200" s="100">
        <f t="shared" si="135"/>
        <v>0.12406092770004824</v>
      </c>
      <c r="F200" s="107" t="e">
        <f t="shared" si="149"/>
        <v>#NUM!</v>
      </c>
      <c r="G200" s="108">
        <f t="shared" si="150"/>
        <v>0</v>
      </c>
      <c r="H200" s="100" t="e">
        <f t="shared" si="138"/>
        <v>#NUM!</v>
      </c>
      <c r="I200" s="108" t="e">
        <f t="shared" si="144"/>
        <v>#NUM!</v>
      </c>
      <c r="J200" s="108">
        <f t="shared" si="144"/>
        <v>9</v>
      </c>
      <c r="K200" s="100" t="e">
        <f t="shared" si="136"/>
        <v>#NUM!</v>
      </c>
      <c r="L200" s="109">
        <f t="shared" si="145"/>
        <v>0.40000000000000002</v>
      </c>
      <c r="M200" s="110">
        <f t="shared" si="146"/>
        <v>0</v>
      </c>
      <c r="N200" s="103">
        <f t="shared" si="130"/>
        <v>0</v>
      </c>
      <c r="O200" s="111">
        <f t="shared" si="147"/>
        <v>0</v>
      </c>
      <c r="P200" s="110">
        <f t="shared" si="148"/>
        <v>0</v>
      </c>
      <c r="Q200" s="103" t="e">
        <f t="shared" si="137"/>
        <v>#DIV/0!</v>
      </c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</row>
    <row r="201" ht="15.75" hidden="1" customHeight="1" outlineLevel="1">
      <c r="A201" s="97"/>
      <c r="B201" s="106" t="s">
        <v>156</v>
      </c>
      <c r="C201" s="107">
        <f t="shared" si="140"/>
        <v>86.759999999999991</v>
      </c>
      <c r="D201" s="108">
        <f t="shared" si="141"/>
        <v>3.2999999999999998</v>
      </c>
      <c r="E201" s="100">
        <f t="shared" si="135"/>
        <v>0.038035961272475799</v>
      </c>
      <c r="F201" s="107" t="e">
        <f>AVERAGE(F146,F165,F156,F174,F183,F192)</f>
        <v>#NUM!</v>
      </c>
      <c r="G201" s="108">
        <f t="shared" si="150"/>
        <v>0</v>
      </c>
      <c r="H201" s="100" t="e">
        <f t="shared" si="138"/>
        <v>#NUM!</v>
      </c>
      <c r="I201" s="108" t="e">
        <f t="shared" si="144"/>
        <v>#NUM!</v>
      </c>
      <c r="J201" s="108">
        <f t="shared" si="144"/>
        <v>3.2999999999999998</v>
      </c>
      <c r="K201" s="100" t="e">
        <f t="shared" si="136"/>
        <v>#NUM!</v>
      </c>
      <c r="L201" s="109">
        <f t="shared" si="145"/>
        <v>7.7650000000000006</v>
      </c>
      <c r="M201" s="110">
        <f t="shared" si="146"/>
        <v>1</v>
      </c>
      <c r="N201" s="103">
        <f t="shared" si="130"/>
        <v>0.12878300064391499</v>
      </c>
      <c r="O201" s="111">
        <f t="shared" si="147"/>
        <v>0</v>
      </c>
      <c r="P201" s="110">
        <f t="shared" si="148"/>
        <v>0</v>
      </c>
      <c r="Q201" s="103" t="e">
        <f t="shared" si="137"/>
        <v>#DIV/0!</v>
      </c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</row>
    <row r="202" ht="15.75" customHeight="1" collapsed="1">
      <c r="A202" s="88" t="s">
        <v>179</v>
      </c>
      <c r="B202" s="88" t="s">
        <v>148</v>
      </c>
      <c r="C202" s="89">
        <f t="shared" ref="C202:D256" si="151">SUM(C203:C210)</f>
        <v>0</v>
      </c>
      <c r="D202" s="89">
        <f t="shared" si="151"/>
        <v>0</v>
      </c>
      <c r="E202" s="90" t="e">
        <f t="shared" si="135"/>
        <v>#DIV/0!</v>
      </c>
      <c r="F202" s="89">
        <f t="shared" ref="F202:G256" si="152">SUM(F203:F210)</f>
        <v>0</v>
      </c>
      <c r="G202" s="89">
        <f t="shared" si="152"/>
        <v>0</v>
      </c>
      <c r="H202" s="90" t="e">
        <f t="shared" si="138"/>
        <v>#DIV/0!</v>
      </c>
      <c r="I202" s="89">
        <f t="shared" ref="I202:J202" si="153">SUM(I203:I210)</f>
        <v>0</v>
      </c>
      <c r="J202" s="89">
        <f t="shared" si="153"/>
        <v>0</v>
      </c>
      <c r="K202" s="90" t="e">
        <f t="shared" si="136"/>
        <v>#DIV/0!</v>
      </c>
      <c r="L202" s="91">
        <f t="shared" ref="L202:M256" si="154">SUM(L203:L210)</f>
        <v>0</v>
      </c>
      <c r="M202" s="92">
        <f t="shared" si="154"/>
        <v>0</v>
      </c>
      <c r="N202" s="93" t="e">
        <f t="shared" si="130"/>
        <v>#DIV/0!</v>
      </c>
      <c r="O202" s="92">
        <f t="shared" ref="O202:P256" si="155">SUM(O203:O210)</f>
        <v>0</v>
      </c>
      <c r="P202" s="92">
        <f t="shared" si="155"/>
        <v>0</v>
      </c>
      <c r="Q202" s="93" t="e">
        <f t="shared" si="137"/>
        <v>#DIV/0!</v>
      </c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</row>
    <row r="203" ht="15.75" hidden="1" customHeight="1" outlineLevel="1">
      <c r="A203" s="11"/>
      <c r="B203" s="11" t="s">
        <v>149</v>
      </c>
      <c r="C203" s="12"/>
      <c r="D203" s="12"/>
      <c r="E203" s="90" t="e">
        <f t="shared" si="135"/>
        <v>#DIV/0!</v>
      </c>
      <c r="F203" s="12"/>
      <c r="G203" s="12"/>
      <c r="H203" s="90"/>
      <c r="I203" s="12">
        <f t="shared" ref="I203:J210" si="156">C203-F203</f>
        <v>0</v>
      </c>
      <c r="J203" s="12">
        <f t="shared" si="156"/>
        <v>0</v>
      </c>
      <c r="K203" s="90" t="e">
        <f t="shared" si="136"/>
        <v>#DIV/0!</v>
      </c>
      <c r="L203" s="129"/>
      <c r="M203" s="130"/>
      <c r="N203" s="93" t="e">
        <f t="shared" si="130"/>
        <v>#DIV/0!</v>
      </c>
      <c r="O203" s="95">
        <v>0</v>
      </c>
      <c r="P203" s="95">
        <v>0</v>
      </c>
      <c r="Q203" s="93">
        <v>0</v>
      </c>
    </row>
    <row r="204" ht="15.75" hidden="1" customHeight="1" outlineLevel="1">
      <c r="A204" s="11"/>
      <c r="B204" s="11" t="s">
        <v>150</v>
      </c>
      <c r="C204" s="12"/>
      <c r="D204" s="12"/>
      <c r="E204" s="90" t="e">
        <f t="shared" si="135"/>
        <v>#DIV/0!</v>
      </c>
      <c r="F204" s="12"/>
      <c r="G204" s="12"/>
      <c r="H204" s="90"/>
      <c r="I204" s="12">
        <f t="shared" si="156"/>
        <v>0</v>
      </c>
      <c r="J204" s="12">
        <f t="shared" si="156"/>
        <v>0</v>
      </c>
      <c r="K204" s="90" t="e">
        <f t="shared" si="136"/>
        <v>#DIV/0!</v>
      </c>
      <c r="L204" s="129"/>
      <c r="M204" s="130"/>
      <c r="N204" s="93" t="e">
        <f t="shared" si="130"/>
        <v>#DIV/0!</v>
      </c>
      <c r="O204" s="95">
        <v>0</v>
      </c>
      <c r="P204" s="95">
        <v>0</v>
      </c>
      <c r="Q204" s="93">
        <v>0</v>
      </c>
    </row>
    <row r="205" ht="15.75" hidden="1" customHeight="1" outlineLevel="1">
      <c r="A205" s="11"/>
      <c r="B205" s="11" t="s">
        <v>151</v>
      </c>
      <c r="C205" s="12"/>
      <c r="D205" s="12"/>
      <c r="E205" s="90" t="e">
        <f t="shared" si="135"/>
        <v>#DIV/0!</v>
      </c>
      <c r="F205" s="12"/>
      <c r="G205" s="12"/>
      <c r="H205" s="90"/>
      <c r="I205" s="12">
        <f t="shared" si="156"/>
        <v>0</v>
      </c>
      <c r="J205" s="12">
        <f t="shared" si="156"/>
        <v>0</v>
      </c>
      <c r="K205" s="90" t="e">
        <f t="shared" si="136"/>
        <v>#DIV/0!</v>
      </c>
      <c r="L205" s="129"/>
      <c r="M205" s="130"/>
      <c r="N205" s="93" t="e">
        <f t="shared" si="130"/>
        <v>#DIV/0!</v>
      </c>
      <c r="O205" s="130"/>
      <c r="P205" s="130"/>
      <c r="Q205" s="93" t="e">
        <f t="shared" si="137"/>
        <v>#DIV/0!</v>
      </c>
    </row>
    <row r="206" ht="15.75" hidden="1" customHeight="1" outlineLevel="1">
      <c r="A206" s="11"/>
      <c r="B206" s="11" t="s">
        <v>152</v>
      </c>
      <c r="C206" s="12"/>
      <c r="D206" s="12"/>
      <c r="E206" s="90" t="e">
        <f t="shared" si="135"/>
        <v>#DIV/0!</v>
      </c>
      <c r="F206" s="12"/>
      <c r="G206" s="12"/>
      <c r="H206" s="90"/>
      <c r="I206" s="12">
        <f t="shared" si="156"/>
        <v>0</v>
      </c>
      <c r="J206" s="12">
        <f t="shared" si="156"/>
        <v>0</v>
      </c>
      <c r="K206" s="90" t="e">
        <f t="shared" si="136"/>
        <v>#DIV/0!</v>
      </c>
      <c r="L206" s="129"/>
      <c r="M206" s="130"/>
      <c r="N206" s="93" t="e">
        <f t="shared" si="130"/>
        <v>#DIV/0!</v>
      </c>
      <c r="O206" s="130"/>
      <c r="P206" s="130"/>
      <c r="Q206" s="93" t="e">
        <f t="shared" si="137"/>
        <v>#DIV/0!</v>
      </c>
    </row>
    <row r="207" ht="15.75" hidden="1" customHeight="1" outlineLevel="1">
      <c r="A207" s="11"/>
      <c r="B207" s="11" t="s">
        <v>153</v>
      </c>
      <c r="C207" s="12"/>
      <c r="D207" s="12"/>
      <c r="E207" s="90" t="e">
        <f t="shared" si="135"/>
        <v>#DIV/0!</v>
      </c>
      <c r="F207" s="12"/>
      <c r="G207" s="12"/>
      <c r="H207" s="90"/>
      <c r="I207" s="12">
        <f t="shared" si="156"/>
        <v>0</v>
      </c>
      <c r="J207" s="12">
        <f t="shared" si="156"/>
        <v>0</v>
      </c>
      <c r="K207" s="90" t="e">
        <f t="shared" si="136"/>
        <v>#DIV/0!</v>
      </c>
      <c r="L207" s="94"/>
      <c r="M207" s="95"/>
      <c r="N207" s="93" t="e">
        <f t="shared" si="130"/>
        <v>#DIV/0!</v>
      </c>
      <c r="O207" s="95"/>
      <c r="P207" s="130"/>
      <c r="Q207" s="93" t="e">
        <f t="shared" si="137"/>
        <v>#DIV/0!</v>
      </c>
    </row>
    <row r="208" ht="15.75" hidden="1" customHeight="1" outlineLevel="1">
      <c r="A208" s="11"/>
      <c r="B208" s="11" t="s">
        <v>154</v>
      </c>
      <c r="C208" s="12"/>
      <c r="D208" s="12"/>
      <c r="E208" s="90" t="e">
        <f t="shared" si="135"/>
        <v>#DIV/0!</v>
      </c>
      <c r="F208" s="12"/>
      <c r="G208" s="12"/>
      <c r="H208" s="90"/>
      <c r="I208" s="12">
        <f t="shared" si="156"/>
        <v>0</v>
      </c>
      <c r="J208" s="12">
        <f t="shared" si="156"/>
        <v>0</v>
      </c>
      <c r="K208" s="90" t="e">
        <f t="shared" si="136"/>
        <v>#DIV/0!</v>
      </c>
      <c r="L208" s="129"/>
      <c r="M208" s="130"/>
      <c r="N208" s="93" t="e">
        <f t="shared" si="130"/>
        <v>#DIV/0!</v>
      </c>
      <c r="O208" s="130"/>
      <c r="P208" s="130"/>
      <c r="Q208" s="93" t="e">
        <f t="shared" si="137"/>
        <v>#DIV/0!</v>
      </c>
    </row>
    <row r="209" ht="15.75" hidden="1" customHeight="1" outlineLevel="1">
      <c r="A209" s="11"/>
      <c r="B209" s="11" t="s">
        <v>155</v>
      </c>
      <c r="C209" s="12"/>
      <c r="D209" s="12"/>
      <c r="E209" s="90" t="e">
        <f t="shared" si="135"/>
        <v>#DIV/0!</v>
      </c>
      <c r="F209" s="12"/>
      <c r="G209" s="12"/>
      <c r="H209" s="90"/>
      <c r="I209" s="12">
        <f t="shared" si="156"/>
        <v>0</v>
      </c>
      <c r="J209" s="12">
        <f t="shared" si="156"/>
        <v>0</v>
      </c>
      <c r="K209" s="90" t="e">
        <f t="shared" si="136"/>
        <v>#DIV/0!</v>
      </c>
      <c r="L209" s="129"/>
      <c r="M209" s="95"/>
      <c r="N209" s="93" t="e">
        <f t="shared" si="130"/>
        <v>#DIV/0!</v>
      </c>
      <c r="O209" s="130"/>
      <c r="P209" s="130"/>
      <c r="Q209" s="93" t="e">
        <f t="shared" si="137"/>
        <v>#DIV/0!</v>
      </c>
    </row>
    <row r="210" ht="15.75" hidden="1" customHeight="1" outlineLevel="1">
      <c r="A210" s="11"/>
      <c r="B210" s="11" t="s">
        <v>156</v>
      </c>
      <c r="C210" s="12"/>
      <c r="D210" s="12"/>
      <c r="E210" s="90" t="e">
        <f t="shared" si="135"/>
        <v>#DIV/0!</v>
      </c>
      <c r="F210" s="96"/>
      <c r="G210" s="12"/>
      <c r="H210" s="90"/>
      <c r="I210" s="12">
        <f t="shared" si="156"/>
        <v>0</v>
      </c>
      <c r="J210" s="12">
        <f t="shared" si="156"/>
        <v>0</v>
      </c>
      <c r="K210" s="90" t="e">
        <f t="shared" si="136"/>
        <v>#DIV/0!</v>
      </c>
      <c r="L210" s="129"/>
      <c r="M210" s="130"/>
      <c r="N210" s="93" t="e">
        <f t="shared" si="130"/>
        <v>#DIV/0!</v>
      </c>
      <c r="O210" s="130"/>
      <c r="P210" s="95"/>
      <c r="Q210" s="93" t="e">
        <f t="shared" si="137"/>
        <v>#DIV/0!</v>
      </c>
    </row>
    <row r="211" ht="15.75" customHeight="1" collapsed="1">
      <c r="A211" s="88" t="s">
        <v>180</v>
      </c>
      <c r="B211" s="88" t="s">
        <v>148</v>
      </c>
      <c r="C211" s="89">
        <f t="shared" si="151"/>
        <v>0</v>
      </c>
      <c r="D211" s="89">
        <f t="shared" si="151"/>
        <v>0</v>
      </c>
      <c r="E211" s="90" t="e">
        <f t="shared" si="135"/>
        <v>#DIV/0!</v>
      </c>
      <c r="F211" s="89">
        <f t="shared" si="152"/>
        <v>0</v>
      </c>
      <c r="G211" s="89">
        <f t="shared" si="152"/>
        <v>0</v>
      </c>
      <c r="H211" s="90" t="e">
        <f t="shared" si="138"/>
        <v>#DIV/0!</v>
      </c>
      <c r="I211" s="89">
        <f t="shared" ref="I211:J211" si="157">SUM(I212:I219)</f>
        <v>0</v>
      </c>
      <c r="J211" s="89">
        <f t="shared" si="157"/>
        <v>0</v>
      </c>
      <c r="K211" s="90" t="e">
        <f t="shared" si="136"/>
        <v>#DIV/0!</v>
      </c>
      <c r="L211" s="91">
        <f t="shared" si="154"/>
        <v>0</v>
      </c>
      <c r="M211" s="92">
        <f t="shared" si="154"/>
        <v>0</v>
      </c>
      <c r="N211" s="93" t="e">
        <f t="shared" si="130"/>
        <v>#DIV/0!</v>
      </c>
      <c r="O211" s="92">
        <f t="shared" si="155"/>
        <v>0</v>
      </c>
      <c r="P211" s="92">
        <f t="shared" si="155"/>
        <v>0</v>
      </c>
      <c r="Q211" s="93" t="e">
        <f t="shared" si="137"/>
        <v>#DIV/0!</v>
      </c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</row>
    <row r="212" ht="15.75" hidden="1" customHeight="1" outlineLevel="1">
      <c r="A212" s="11"/>
      <c r="B212" s="11" t="s">
        <v>149</v>
      </c>
      <c r="C212" s="12"/>
      <c r="D212" s="12"/>
      <c r="E212" s="90" t="e">
        <f t="shared" si="135"/>
        <v>#DIV/0!</v>
      </c>
      <c r="F212" s="12"/>
      <c r="G212" s="12"/>
      <c r="H212" s="90"/>
      <c r="I212" s="12">
        <f t="shared" ref="I212:J219" si="158">C212-F212</f>
        <v>0</v>
      </c>
      <c r="J212" s="12">
        <f t="shared" si="158"/>
        <v>0</v>
      </c>
      <c r="K212" s="90" t="e">
        <f t="shared" si="136"/>
        <v>#DIV/0!</v>
      </c>
      <c r="L212" s="129"/>
      <c r="M212" s="130"/>
      <c r="N212" s="93" t="e">
        <f t="shared" si="130"/>
        <v>#DIV/0!</v>
      </c>
      <c r="O212" s="95">
        <v>0</v>
      </c>
      <c r="P212" s="95">
        <v>0</v>
      </c>
      <c r="Q212" s="93">
        <v>0</v>
      </c>
    </row>
    <row r="213" ht="15.75" hidden="1" customHeight="1" outlineLevel="1">
      <c r="A213" s="11"/>
      <c r="B213" s="11" t="s">
        <v>150</v>
      </c>
      <c r="C213" s="12"/>
      <c r="D213" s="12"/>
      <c r="E213" s="90" t="e">
        <f t="shared" si="135"/>
        <v>#DIV/0!</v>
      </c>
      <c r="F213" s="12"/>
      <c r="G213" s="12"/>
      <c r="H213" s="90"/>
      <c r="I213" s="12">
        <f t="shared" si="158"/>
        <v>0</v>
      </c>
      <c r="J213" s="12">
        <f t="shared" si="158"/>
        <v>0</v>
      </c>
      <c r="K213" s="90" t="e">
        <f t="shared" si="136"/>
        <v>#DIV/0!</v>
      </c>
      <c r="L213" s="129"/>
      <c r="M213" s="130"/>
      <c r="N213" s="93" t="e">
        <f t="shared" si="130"/>
        <v>#DIV/0!</v>
      </c>
      <c r="O213" s="95">
        <v>0</v>
      </c>
      <c r="P213" s="95">
        <v>0</v>
      </c>
      <c r="Q213" s="93">
        <v>0</v>
      </c>
    </row>
    <row r="214" ht="15.75" hidden="1" customHeight="1" outlineLevel="1">
      <c r="A214" s="11"/>
      <c r="B214" s="11" t="s">
        <v>151</v>
      </c>
      <c r="C214" s="12"/>
      <c r="D214" s="12"/>
      <c r="E214" s="90" t="e">
        <f t="shared" si="135"/>
        <v>#DIV/0!</v>
      </c>
      <c r="F214" s="12"/>
      <c r="G214" s="12"/>
      <c r="H214" s="90"/>
      <c r="I214" s="12">
        <f t="shared" si="158"/>
        <v>0</v>
      </c>
      <c r="J214" s="12">
        <f t="shared" si="158"/>
        <v>0</v>
      </c>
      <c r="K214" s="90" t="e">
        <f t="shared" si="136"/>
        <v>#DIV/0!</v>
      </c>
      <c r="L214" s="129"/>
      <c r="M214" s="130"/>
      <c r="N214" s="93" t="e">
        <f t="shared" si="130"/>
        <v>#DIV/0!</v>
      </c>
      <c r="O214" s="130"/>
      <c r="P214" s="130"/>
      <c r="Q214" s="93" t="e">
        <f t="shared" si="137"/>
        <v>#DIV/0!</v>
      </c>
    </row>
    <row r="215" ht="15.75" hidden="1" customHeight="1" outlineLevel="1">
      <c r="A215" s="11"/>
      <c r="B215" s="11" t="s">
        <v>152</v>
      </c>
      <c r="C215" s="12"/>
      <c r="D215" s="12"/>
      <c r="E215" s="90" t="e">
        <f t="shared" si="135"/>
        <v>#DIV/0!</v>
      </c>
      <c r="F215" s="12"/>
      <c r="G215" s="12"/>
      <c r="H215" s="90"/>
      <c r="I215" s="12">
        <f t="shared" si="158"/>
        <v>0</v>
      </c>
      <c r="J215" s="12">
        <f t="shared" si="158"/>
        <v>0</v>
      </c>
      <c r="K215" s="90" t="e">
        <f t="shared" si="136"/>
        <v>#DIV/0!</v>
      </c>
      <c r="L215" s="129"/>
      <c r="M215" s="130"/>
      <c r="N215" s="93" t="e">
        <f t="shared" si="130"/>
        <v>#DIV/0!</v>
      </c>
      <c r="O215" s="130"/>
      <c r="P215" s="130"/>
      <c r="Q215" s="93" t="e">
        <f t="shared" si="137"/>
        <v>#DIV/0!</v>
      </c>
    </row>
    <row r="216" ht="15.75" hidden="1" customHeight="1" outlineLevel="1">
      <c r="A216" s="11"/>
      <c r="B216" s="11" t="s">
        <v>153</v>
      </c>
      <c r="C216" s="12"/>
      <c r="D216" s="12"/>
      <c r="E216" s="90" t="e">
        <f t="shared" si="135"/>
        <v>#DIV/0!</v>
      </c>
      <c r="F216" s="12"/>
      <c r="G216" s="12"/>
      <c r="H216" s="90"/>
      <c r="I216" s="12">
        <f t="shared" si="158"/>
        <v>0</v>
      </c>
      <c r="J216" s="12">
        <f t="shared" si="158"/>
        <v>0</v>
      </c>
      <c r="K216" s="90" t="e">
        <f t="shared" si="136"/>
        <v>#DIV/0!</v>
      </c>
      <c r="L216" s="94"/>
      <c r="M216" s="95"/>
      <c r="N216" s="93" t="e">
        <f t="shared" si="130"/>
        <v>#DIV/0!</v>
      </c>
      <c r="O216" s="95"/>
      <c r="P216" s="130"/>
      <c r="Q216" s="93" t="e">
        <f t="shared" si="137"/>
        <v>#DIV/0!</v>
      </c>
    </row>
    <row r="217" ht="15.75" hidden="1" customHeight="1" outlineLevel="1">
      <c r="A217" s="11"/>
      <c r="B217" s="11" t="s">
        <v>154</v>
      </c>
      <c r="C217" s="12"/>
      <c r="D217" s="12"/>
      <c r="E217" s="90" t="e">
        <f t="shared" si="135"/>
        <v>#DIV/0!</v>
      </c>
      <c r="F217" s="12"/>
      <c r="G217" s="12"/>
      <c r="H217" s="90"/>
      <c r="I217" s="12">
        <f t="shared" si="158"/>
        <v>0</v>
      </c>
      <c r="J217" s="12">
        <f t="shared" si="158"/>
        <v>0</v>
      </c>
      <c r="K217" s="90" t="e">
        <f t="shared" si="136"/>
        <v>#DIV/0!</v>
      </c>
      <c r="L217" s="129"/>
      <c r="M217" s="130"/>
      <c r="N217" s="93" t="e">
        <f t="shared" si="130"/>
        <v>#DIV/0!</v>
      </c>
      <c r="O217" s="130"/>
      <c r="P217" s="130"/>
      <c r="Q217" s="93" t="e">
        <f t="shared" si="137"/>
        <v>#DIV/0!</v>
      </c>
    </row>
    <row r="218" ht="15.75" hidden="1" customHeight="1" outlineLevel="1">
      <c r="A218" s="11"/>
      <c r="B218" s="11" t="s">
        <v>155</v>
      </c>
      <c r="C218" s="12"/>
      <c r="D218" s="12"/>
      <c r="E218" s="90" t="e">
        <f t="shared" si="135"/>
        <v>#DIV/0!</v>
      </c>
      <c r="F218" s="12"/>
      <c r="G218" s="12"/>
      <c r="H218" s="90"/>
      <c r="I218" s="12">
        <f t="shared" si="158"/>
        <v>0</v>
      </c>
      <c r="J218" s="12">
        <f t="shared" si="158"/>
        <v>0</v>
      </c>
      <c r="K218" s="90" t="e">
        <f t="shared" si="136"/>
        <v>#DIV/0!</v>
      </c>
      <c r="L218" s="129"/>
      <c r="M218" s="95"/>
      <c r="N218" s="93" t="e">
        <f t="shared" si="130"/>
        <v>#DIV/0!</v>
      </c>
      <c r="O218" s="130"/>
      <c r="P218" s="130"/>
      <c r="Q218" s="93" t="e">
        <f t="shared" si="137"/>
        <v>#DIV/0!</v>
      </c>
    </row>
    <row r="219" ht="15.75" hidden="1" customHeight="1" outlineLevel="1">
      <c r="A219" s="11"/>
      <c r="B219" s="11" t="s">
        <v>156</v>
      </c>
      <c r="C219" s="12"/>
      <c r="D219" s="12"/>
      <c r="E219" s="90" t="e">
        <f t="shared" si="135"/>
        <v>#DIV/0!</v>
      </c>
      <c r="F219" s="96"/>
      <c r="G219" s="12"/>
      <c r="H219" s="90"/>
      <c r="I219" s="12">
        <f t="shared" si="158"/>
        <v>0</v>
      </c>
      <c r="J219" s="12">
        <f t="shared" si="158"/>
        <v>0</v>
      </c>
      <c r="K219" s="90" t="e">
        <f t="shared" si="136"/>
        <v>#DIV/0!</v>
      </c>
      <c r="L219" s="129"/>
      <c r="M219" s="130"/>
      <c r="N219" s="93" t="e">
        <f t="shared" si="130"/>
        <v>#DIV/0!</v>
      </c>
      <c r="O219" s="130"/>
      <c r="P219" s="95"/>
      <c r="Q219" s="93" t="e">
        <f t="shared" si="137"/>
        <v>#DIV/0!</v>
      </c>
    </row>
    <row r="220" ht="15.75" customHeight="1" collapsed="1">
      <c r="A220" s="88" t="s">
        <v>181</v>
      </c>
      <c r="B220" s="88" t="s">
        <v>148</v>
      </c>
      <c r="C220" s="89">
        <f t="shared" si="151"/>
        <v>0</v>
      </c>
      <c r="D220" s="89">
        <f t="shared" si="151"/>
        <v>0</v>
      </c>
      <c r="E220" s="90" t="e">
        <f t="shared" si="135"/>
        <v>#DIV/0!</v>
      </c>
      <c r="F220" s="89">
        <f t="shared" si="152"/>
        <v>0</v>
      </c>
      <c r="G220" s="89">
        <f t="shared" si="152"/>
        <v>0</v>
      </c>
      <c r="H220" s="90" t="e">
        <f t="shared" si="138"/>
        <v>#DIV/0!</v>
      </c>
      <c r="I220" s="89">
        <f t="shared" ref="I220:J220" si="159">SUM(I221:I228)</f>
        <v>0</v>
      </c>
      <c r="J220" s="89">
        <f t="shared" si="159"/>
        <v>0</v>
      </c>
      <c r="K220" s="90" t="e">
        <f t="shared" si="136"/>
        <v>#DIV/0!</v>
      </c>
      <c r="L220" s="91">
        <f t="shared" si="154"/>
        <v>0</v>
      </c>
      <c r="M220" s="92">
        <f t="shared" si="154"/>
        <v>0</v>
      </c>
      <c r="N220" s="93" t="e">
        <f t="shared" si="130"/>
        <v>#DIV/0!</v>
      </c>
      <c r="O220" s="92">
        <f t="shared" si="155"/>
        <v>0</v>
      </c>
      <c r="P220" s="92">
        <f t="shared" si="155"/>
        <v>0</v>
      </c>
      <c r="Q220" s="93" t="e">
        <f t="shared" si="137"/>
        <v>#DIV/0!</v>
      </c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</row>
    <row r="221" ht="15.75" hidden="1" customHeight="1" outlineLevel="1">
      <c r="A221" s="11"/>
      <c r="B221" s="11" t="s">
        <v>149</v>
      </c>
      <c r="C221" s="12"/>
      <c r="D221" s="12"/>
      <c r="E221" s="90" t="e">
        <f t="shared" si="135"/>
        <v>#DIV/0!</v>
      </c>
      <c r="F221" s="12"/>
      <c r="G221" s="12"/>
      <c r="H221" s="90"/>
      <c r="I221" s="12">
        <f t="shared" ref="I221:J228" si="160">C221-F221</f>
        <v>0</v>
      </c>
      <c r="J221" s="12">
        <f t="shared" si="160"/>
        <v>0</v>
      </c>
      <c r="K221" s="90" t="e">
        <f t="shared" si="136"/>
        <v>#DIV/0!</v>
      </c>
      <c r="L221" s="129"/>
      <c r="M221" s="130"/>
      <c r="N221" s="93" t="e">
        <f t="shared" si="130"/>
        <v>#DIV/0!</v>
      </c>
      <c r="O221" s="95">
        <v>0</v>
      </c>
      <c r="P221" s="95">
        <v>0</v>
      </c>
      <c r="Q221" s="93">
        <v>0</v>
      </c>
    </row>
    <row r="222" ht="15.75" hidden="1" customHeight="1" outlineLevel="1">
      <c r="A222" s="11"/>
      <c r="B222" s="11" t="s">
        <v>150</v>
      </c>
      <c r="C222" s="12"/>
      <c r="D222" s="12"/>
      <c r="E222" s="90" t="e">
        <f t="shared" si="135"/>
        <v>#DIV/0!</v>
      </c>
      <c r="F222" s="12"/>
      <c r="G222" s="12"/>
      <c r="H222" s="90"/>
      <c r="I222" s="12">
        <f t="shared" si="160"/>
        <v>0</v>
      </c>
      <c r="J222" s="12">
        <f t="shared" si="160"/>
        <v>0</v>
      </c>
      <c r="K222" s="90" t="e">
        <f t="shared" si="136"/>
        <v>#DIV/0!</v>
      </c>
      <c r="L222" s="129"/>
      <c r="M222" s="130"/>
      <c r="N222" s="93" t="e">
        <f t="shared" si="130"/>
        <v>#DIV/0!</v>
      </c>
      <c r="O222" s="95">
        <v>0</v>
      </c>
      <c r="P222" s="95">
        <v>0</v>
      </c>
      <c r="Q222" s="93">
        <v>0</v>
      </c>
    </row>
    <row r="223" ht="15.75" hidden="1" customHeight="1" outlineLevel="1">
      <c r="A223" s="11"/>
      <c r="B223" s="11" t="s">
        <v>151</v>
      </c>
      <c r="C223" s="12"/>
      <c r="D223" s="12"/>
      <c r="E223" s="90" t="e">
        <f t="shared" si="135"/>
        <v>#DIV/0!</v>
      </c>
      <c r="F223" s="12"/>
      <c r="G223" s="12"/>
      <c r="H223" s="90"/>
      <c r="I223" s="12">
        <f t="shared" si="160"/>
        <v>0</v>
      </c>
      <c r="J223" s="12">
        <f t="shared" si="160"/>
        <v>0</v>
      </c>
      <c r="K223" s="90" t="e">
        <f t="shared" si="136"/>
        <v>#DIV/0!</v>
      </c>
      <c r="L223" s="129"/>
      <c r="M223" s="130"/>
      <c r="N223" s="93" t="e">
        <f t="shared" si="130"/>
        <v>#DIV/0!</v>
      </c>
      <c r="O223" s="130"/>
      <c r="P223" s="130"/>
      <c r="Q223" s="93" t="e">
        <f t="shared" si="137"/>
        <v>#DIV/0!</v>
      </c>
    </row>
    <row r="224" ht="15.75" hidden="1" customHeight="1" outlineLevel="1">
      <c r="A224" s="11"/>
      <c r="B224" s="11" t="s">
        <v>152</v>
      </c>
      <c r="C224" s="12"/>
      <c r="D224" s="12"/>
      <c r="E224" s="90" t="e">
        <f t="shared" si="135"/>
        <v>#DIV/0!</v>
      </c>
      <c r="F224" s="12"/>
      <c r="G224" s="12"/>
      <c r="H224" s="90"/>
      <c r="I224" s="12">
        <f t="shared" si="160"/>
        <v>0</v>
      </c>
      <c r="J224" s="12">
        <f t="shared" si="160"/>
        <v>0</v>
      </c>
      <c r="K224" s="90" t="e">
        <f t="shared" si="136"/>
        <v>#DIV/0!</v>
      </c>
      <c r="L224" s="129"/>
      <c r="M224" s="130"/>
      <c r="N224" s="93" t="e">
        <f t="shared" si="130"/>
        <v>#DIV/0!</v>
      </c>
      <c r="O224" s="130"/>
      <c r="P224" s="130"/>
      <c r="Q224" s="93" t="e">
        <f t="shared" si="137"/>
        <v>#DIV/0!</v>
      </c>
    </row>
    <row r="225" ht="15.75" hidden="1" customHeight="1" outlineLevel="1">
      <c r="A225" s="11"/>
      <c r="B225" s="11" t="s">
        <v>153</v>
      </c>
      <c r="C225" s="12"/>
      <c r="D225" s="12"/>
      <c r="E225" s="90" t="e">
        <f t="shared" si="135"/>
        <v>#DIV/0!</v>
      </c>
      <c r="F225" s="12"/>
      <c r="G225" s="12"/>
      <c r="H225" s="90"/>
      <c r="I225" s="12">
        <f t="shared" si="160"/>
        <v>0</v>
      </c>
      <c r="J225" s="12">
        <f t="shared" si="160"/>
        <v>0</v>
      </c>
      <c r="K225" s="90" t="e">
        <f t="shared" si="136"/>
        <v>#DIV/0!</v>
      </c>
      <c r="L225" s="94"/>
      <c r="M225" s="95"/>
      <c r="N225" s="93" t="e">
        <f t="shared" si="130"/>
        <v>#DIV/0!</v>
      </c>
      <c r="O225" s="95"/>
      <c r="P225" s="130"/>
      <c r="Q225" s="93" t="e">
        <f t="shared" si="137"/>
        <v>#DIV/0!</v>
      </c>
    </row>
    <row r="226" ht="15.75" hidden="1" customHeight="1" outlineLevel="1">
      <c r="A226" s="11"/>
      <c r="B226" s="11" t="s">
        <v>154</v>
      </c>
      <c r="C226" s="12"/>
      <c r="D226" s="12"/>
      <c r="E226" s="90" t="e">
        <f t="shared" si="135"/>
        <v>#DIV/0!</v>
      </c>
      <c r="F226" s="12"/>
      <c r="G226" s="12"/>
      <c r="H226" s="90"/>
      <c r="I226" s="12">
        <f t="shared" si="160"/>
        <v>0</v>
      </c>
      <c r="J226" s="12">
        <f t="shared" si="160"/>
        <v>0</v>
      </c>
      <c r="K226" s="90" t="e">
        <f t="shared" si="136"/>
        <v>#DIV/0!</v>
      </c>
      <c r="L226" s="129"/>
      <c r="M226" s="130"/>
      <c r="N226" s="93" t="e">
        <f t="shared" si="130"/>
        <v>#DIV/0!</v>
      </c>
      <c r="O226" s="130"/>
      <c r="P226" s="130"/>
      <c r="Q226" s="93" t="e">
        <f t="shared" si="137"/>
        <v>#DIV/0!</v>
      </c>
    </row>
    <row r="227" ht="15.75" hidden="1" customHeight="1" outlineLevel="1">
      <c r="A227" s="11"/>
      <c r="B227" s="11" t="s">
        <v>155</v>
      </c>
      <c r="C227" s="12"/>
      <c r="D227" s="12"/>
      <c r="E227" s="90" t="e">
        <f t="shared" si="135"/>
        <v>#DIV/0!</v>
      </c>
      <c r="F227" s="12"/>
      <c r="G227" s="12"/>
      <c r="H227" s="90"/>
      <c r="I227" s="12">
        <f t="shared" si="160"/>
        <v>0</v>
      </c>
      <c r="J227" s="12">
        <f t="shared" si="160"/>
        <v>0</v>
      </c>
      <c r="K227" s="90" t="e">
        <f t="shared" si="136"/>
        <v>#DIV/0!</v>
      </c>
      <c r="L227" s="129"/>
      <c r="M227" s="95"/>
      <c r="N227" s="93" t="e">
        <f t="shared" si="130"/>
        <v>#DIV/0!</v>
      </c>
      <c r="O227" s="130"/>
      <c r="P227" s="130"/>
      <c r="Q227" s="93" t="e">
        <f t="shared" si="137"/>
        <v>#DIV/0!</v>
      </c>
    </row>
    <row r="228" ht="15.75" hidden="1" customHeight="1" outlineLevel="1">
      <c r="A228" s="11"/>
      <c r="B228" s="11" t="s">
        <v>156</v>
      </c>
      <c r="C228" s="12"/>
      <c r="D228" s="12"/>
      <c r="E228" s="90" t="e">
        <f t="shared" si="135"/>
        <v>#DIV/0!</v>
      </c>
      <c r="F228" s="96"/>
      <c r="G228" s="12"/>
      <c r="H228" s="90"/>
      <c r="I228" s="12">
        <f t="shared" si="160"/>
        <v>0</v>
      </c>
      <c r="J228" s="12">
        <f t="shared" si="160"/>
        <v>0</v>
      </c>
      <c r="K228" s="90" t="e">
        <f t="shared" si="136"/>
        <v>#DIV/0!</v>
      </c>
      <c r="L228" s="129"/>
      <c r="M228" s="130"/>
      <c r="N228" s="93" t="e">
        <f t="shared" si="130"/>
        <v>#DIV/0!</v>
      </c>
      <c r="O228" s="130"/>
      <c r="P228" s="95"/>
      <c r="Q228" s="93" t="e">
        <f t="shared" si="137"/>
        <v>#DIV/0!</v>
      </c>
    </row>
    <row r="229" ht="15.75" customHeight="1" collapsed="1">
      <c r="A229" s="88" t="s">
        <v>182</v>
      </c>
      <c r="B229" s="88" t="s">
        <v>148</v>
      </c>
      <c r="C229" s="89">
        <f t="shared" si="151"/>
        <v>0</v>
      </c>
      <c r="D229" s="89">
        <f t="shared" si="151"/>
        <v>0</v>
      </c>
      <c r="E229" s="90" t="e">
        <f t="shared" si="135"/>
        <v>#DIV/0!</v>
      </c>
      <c r="F229" s="89">
        <f t="shared" si="152"/>
        <v>0</v>
      </c>
      <c r="G229" s="89">
        <f t="shared" si="152"/>
        <v>0</v>
      </c>
      <c r="H229" s="90" t="e">
        <f t="shared" si="138"/>
        <v>#DIV/0!</v>
      </c>
      <c r="I229" s="89">
        <f t="shared" ref="I229:J229" si="161">SUM(I230:I237)</f>
        <v>0</v>
      </c>
      <c r="J229" s="89">
        <f t="shared" si="161"/>
        <v>0</v>
      </c>
      <c r="K229" s="90" t="e">
        <f t="shared" si="136"/>
        <v>#DIV/0!</v>
      </c>
      <c r="L229" s="91">
        <f t="shared" si="154"/>
        <v>0</v>
      </c>
      <c r="M229" s="92">
        <f t="shared" si="154"/>
        <v>0</v>
      </c>
      <c r="N229" s="93" t="e">
        <f t="shared" si="130"/>
        <v>#DIV/0!</v>
      </c>
      <c r="O229" s="92">
        <f t="shared" si="155"/>
        <v>0</v>
      </c>
      <c r="P229" s="92">
        <f t="shared" si="155"/>
        <v>0</v>
      </c>
      <c r="Q229" s="93" t="e">
        <f t="shared" si="137"/>
        <v>#DIV/0!</v>
      </c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</row>
    <row r="230" ht="15.75" hidden="1" customHeight="1" outlineLevel="1">
      <c r="A230" s="11"/>
      <c r="B230" s="11" t="s">
        <v>149</v>
      </c>
      <c r="C230" s="12"/>
      <c r="D230" s="12"/>
      <c r="E230" s="90" t="e">
        <f t="shared" si="135"/>
        <v>#DIV/0!</v>
      </c>
      <c r="F230" s="12"/>
      <c r="G230" s="12"/>
      <c r="H230" s="90"/>
      <c r="I230" s="12">
        <f t="shared" ref="I230:J237" si="162">C230-F230</f>
        <v>0</v>
      </c>
      <c r="J230" s="12">
        <f t="shared" si="162"/>
        <v>0</v>
      </c>
      <c r="K230" s="90" t="e">
        <f t="shared" si="136"/>
        <v>#DIV/0!</v>
      </c>
      <c r="L230" s="129"/>
      <c r="M230" s="130"/>
      <c r="N230" s="93" t="e">
        <f t="shared" si="130"/>
        <v>#DIV/0!</v>
      </c>
      <c r="O230" s="95">
        <v>0</v>
      </c>
      <c r="P230" s="95">
        <v>0</v>
      </c>
      <c r="Q230" s="93">
        <v>0</v>
      </c>
    </row>
    <row r="231" ht="15.75" hidden="1" customHeight="1" outlineLevel="1">
      <c r="A231" s="11"/>
      <c r="B231" s="112" t="s">
        <v>150</v>
      </c>
      <c r="C231" s="12"/>
      <c r="D231" s="12"/>
      <c r="E231" s="90" t="e">
        <f t="shared" si="135"/>
        <v>#DIV/0!</v>
      </c>
      <c r="F231" s="12"/>
      <c r="G231" s="12"/>
      <c r="H231" s="90"/>
      <c r="I231" s="12">
        <f t="shared" si="162"/>
        <v>0</v>
      </c>
      <c r="J231" s="12">
        <f t="shared" si="162"/>
        <v>0</v>
      </c>
      <c r="K231" s="90" t="e">
        <f t="shared" si="136"/>
        <v>#DIV/0!</v>
      </c>
      <c r="L231" s="129"/>
      <c r="M231" s="130"/>
      <c r="N231" s="93" t="e">
        <f t="shared" si="130"/>
        <v>#DIV/0!</v>
      </c>
      <c r="O231" s="95">
        <v>0</v>
      </c>
      <c r="P231" s="95">
        <v>0</v>
      </c>
      <c r="Q231" s="93">
        <v>0</v>
      </c>
    </row>
    <row r="232" ht="15.75" hidden="1" customHeight="1" outlineLevel="1">
      <c r="A232" s="11"/>
      <c r="B232" s="11" t="s">
        <v>151</v>
      </c>
      <c r="C232" s="12"/>
      <c r="D232" s="12"/>
      <c r="E232" s="90" t="e">
        <f t="shared" si="135"/>
        <v>#DIV/0!</v>
      </c>
      <c r="F232" s="12"/>
      <c r="G232" s="12"/>
      <c r="H232" s="90"/>
      <c r="I232" s="12">
        <f t="shared" si="162"/>
        <v>0</v>
      </c>
      <c r="J232" s="12">
        <f t="shared" si="162"/>
        <v>0</v>
      </c>
      <c r="K232" s="90" t="e">
        <f t="shared" si="136"/>
        <v>#DIV/0!</v>
      </c>
      <c r="L232" s="129"/>
      <c r="M232" s="130"/>
      <c r="N232" s="93" t="e">
        <f t="shared" si="130"/>
        <v>#DIV/0!</v>
      </c>
      <c r="O232" s="130"/>
      <c r="P232" s="130"/>
      <c r="Q232" s="93" t="e">
        <f t="shared" si="137"/>
        <v>#DIV/0!</v>
      </c>
    </row>
    <row r="233" ht="15.75" hidden="1" customHeight="1" outlineLevel="1">
      <c r="A233" s="11"/>
      <c r="B233" s="11" t="s">
        <v>152</v>
      </c>
      <c r="C233" s="12"/>
      <c r="D233" s="12"/>
      <c r="E233" s="90" t="e">
        <f t="shared" si="135"/>
        <v>#DIV/0!</v>
      </c>
      <c r="F233" s="12"/>
      <c r="G233" s="12"/>
      <c r="H233" s="90"/>
      <c r="I233" s="12">
        <f t="shared" si="162"/>
        <v>0</v>
      </c>
      <c r="J233" s="12">
        <f t="shared" si="162"/>
        <v>0</v>
      </c>
      <c r="K233" s="90" t="e">
        <f t="shared" si="136"/>
        <v>#DIV/0!</v>
      </c>
      <c r="L233" s="129"/>
      <c r="M233" s="130"/>
      <c r="N233" s="93" t="e">
        <f t="shared" si="130"/>
        <v>#DIV/0!</v>
      </c>
      <c r="O233" s="130"/>
      <c r="P233" s="130"/>
      <c r="Q233" s="93" t="e">
        <f t="shared" si="137"/>
        <v>#DIV/0!</v>
      </c>
    </row>
    <row r="234" ht="15.75" hidden="1" customHeight="1" outlineLevel="1">
      <c r="A234" s="11"/>
      <c r="B234" s="11" t="s">
        <v>153</v>
      </c>
      <c r="C234" s="12"/>
      <c r="D234" s="12"/>
      <c r="E234" s="90" t="e">
        <f t="shared" si="135"/>
        <v>#DIV/0!</v>
      </c>
      <c r="F234" s="12"/>
      <c r="G234" s="12"/>
      <c r="H234" s="90"/>
      <c r="I234" s="12">
        <f t="shared" si="162"/>
        <v>0</v>
      </c>
      <c r="J234" s="12">
        <f t="shared" si="162"/>
        <v>0</v>
      </c>
      <c r="K234" s="90" t="e">
        <f t="shared" si="136"/>
        <v>#DIV/0!</v>
      </c>
      <c r="L234" s="94"/>
      <c r="M234" s="95"/>
      <c r="N234" s="93" t="e">
        <f t="shared" ref="N234:N273" si="163">M234/L234*100%</f>
        <v>#DIV/0!</v>
      </c>
      <c r="O234" s="95"/>
      <c r="P234" s="130"/>
      <c r="Q234" s="93" t="e">
        <f t="shared" si="137"/>
        <v>#DIV/0!</v>
      </c>
    </row>
    <row r="235" ht="15.75" hidden="1" customHeight="1" outlineLevel="1">
      <c r="A235" s="11"/>
      <c r="B235" s="11" t="s">
        <v>154</v>
      </c>
      <c r="C235" s="12"/>
      <c r="D235" s="12"/>
      <c r="E235" s="90" t="e">
        <f t="shared" si="135"/>
        <v>#DIV/0!</v>
      </c>
      <c r="F235" s="12"/>
      <c r="G235" s="12"/>
      <c r="H235" s="90"/>
      <c r="I235" s="12">
        <f t="shared" si="162"/>
        <v>0</v>
      </c>
      <c r="J235" s="12">
        <f t="shared" si="162"/>
        <v>0</v>
      </c>
      <c r="K235" s="90" t="e">
        <f t="shared" si="136"/>
        <v>#DIV/0!</v>
      </c>
      <c r="L235" s="129"/>
      <c r="M235" s="130"/>
      <c r="N235" s="93" t="e">
        <f t="shared" si="163"/>
        <v>#DIV/0!</v>
      </c>
      <c r="O235" s="130"/>
      <c r="P235" s="130"/>
      <c r="Q235" s="93" t="e">
        <f t="shared" si="137"/>
        <v>#DIV/0!</v>
      </c>
    </row>
    <row r="236" ht="15.75" hidden="1" customHeight="1" outlineLevel="1">
      <c r="A236" s="11"/>
      <c r="B236" s="11" t="s">
        <v>155</v>
      </c>
      <c r="C236" s="12"/>
      <c r="D236" s="12"/>
      <c r="E236" s="90" t="e">
        <f t="shared" si="135"/>
        <v>#DIV/0!</v>
      </c>
      <c r="F236" s="12"/>
      <c r="G236" s="12"/>
      <c r="H236" s="90"/>
      <c r="I236" s="12">
        <f t="shared" si="162"/>
        <v>0</v>
      </c>
      <c r="J236" s="12">
        <f t="shared" si="162"/>
        <v>0</v>
      </c>
      <c r="K236" s="90" t="e">
        <f t="shared" si="136"/>
        <v>#DIV/0!</v>
      </c>
      <c r="L236" s="129"/>
      <c r="M236" s="95"/>
      <c r="N236" s="93" t="e">
        <f t="shared" si="163"/>
        <v>#DIV/0!</v>
      </c>
      <c r="O236" s="130"/>
      <c r="P236" s="130"/>
      <c r="Q236" s="93" t="e">
        <f t="shared" si="137"/>
        <v>#DIV/0!</v>
      </c>
    </row>
    <row r="237" ht="15.75" hidden="1" customHeight="1" outlineLevel="1">
      <c r="A237" s="11"/>
      <c r="B237" s="11" t="s">
        <v>156</v>
      </c>
      <c r="C237" s="12"/>
      <c r="D237" s="12"/>
      <c r="E237" s="90" t="e">
        <f t="shared" si="135"/>
        <v>#DIV/0!</v>
      </c>
      <c r="F237" s="96"/>
      <c r="G237" s="12"/>
      <c r="H237" s="90"/>
      <c r="I237" s="12">
        <f t="shared" si="162"/>
        <v>0</v>
      </c>
      <c r="J237" s="12">
        <f t="shared" si="162"/>
        <v>0</v>
      </c>
      <c r="K237" s="90" t="e">
        <f t="shared" si="136"/>
        <v>#DIV/0!</v>
      </c>
      <c r="L237" s="129"/>
      <c r="M237" s="130"/>
      <c r="N237" s="93" t="e">
        <f t="shared" si="163"/>
        <v>#DIV/0!</v>
      </c>
      <c r="O237" s="130"/>
      <c r="P237" s="95"/>
      <c r="Q237" s="93" t="e">
        <f t="shared" si="137"/>
        <v>#DIV/0!</v>
      </c>
    </row>
    <row r="238" ht="15.75" customHeight="1" collapsed="1">
      <c r="A238" s="88" t="s">
        <v>183</v>
      </c>
      <c r="B238" s="88" t="s">
        <v>148</v>
      </c>
      <c r="C238" s="89">
        <f t="shared" si="151"/>
        <v>0</v>
      </c>
      <c r="D238" s="89">
        <f t="shared" si="151"/>
        <v>0</v>
      </c>
      <c r="E238" s="90" t="e">
        <f t="shared" si="135"/>
        <v>#DIV/0!</v>
      </c>
      <c r="F238" s="89">
        <f t="shared" si="152"/>
        <v>0</v>
      </c>
      <c r="G238" s="89">
        <f t="shared" si="152"/>
        <v>0</v>
      </c>
      <c r="H238" s="90" t="e">
        <f t="shared" si="138"/>
        <v>#DIV/0!</v>
      </c>
      <c r="I238" s="89">
        <f t="shared" ref="I238:J238" si="164">SUM(I239:I246)</f>
        <v>0</v>
      </c>
      <c r="J238" s="89">
        <f t="shared" si="164"/>
        <v>0</v>
      </c>
      <c r="K238" s="90" t="e">
        <f t="shared" si="136"/>
        <v>#DIV/0!</v>
      </c>
      <c r="L238" s="91">
        <f t="shared" si="154"/>
        <v>0</v>
      </c>
      <c r="M238" s="92">
        <f t="shared" si="154"/>
        <v>0</v>
      </c>
      <c r="N238" s="93" t="e">
        <f t="shared" si="163"/>
        <v>#DIV/0!</v>
      </c>
      <c r="O238" s="92">
        <f t="shared" si="155"/>
        <v>0</v>
      </c>
      <c r="P238" s="92">
        <f t="shared" si="155"/>
        <v>0</v>
      </c>
      <c r="Q238" s="93" t="e">
        <f t="shared" si="137"/>
        <v>#DIV/0!</v>
      </c>
      <c r="R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</row>
    <row r="239" ht="15.75" hidden="1" customHeight="1" outlineLevel="1">
      <c r="A239" s="11"/>
      <c r="B239" s="11" t="s">
        <v>149</v>
      </c>
      <c r="C239" s="12"/>
      <c r="D239" s="12"/>
      <c r="E239" s="90" t="e">
        <f t="shared" si="135"/>
        <v>#DIV/0!</v>
      </c>
      <c r="F239" s="12"/>
      <c r="G239" s="12"/>
      <c r="H239" s="90"/>
      <c r="I239" s="12">
        <f t="shared" ref="I239:J246" si="165">C239-F239</f>
        <v>0</v>
      </c>
      <c r="J239" s="12">
        <f t="shared" si="165"/>
        <v>0</v>
      </c>
      <c r="K239" s="90" t="e">
        <f t="shared" si="136"/>
        <v>#DIV/0!</v>
      </c>
      <c r="L239" s="129"/>
      <c r="M239" s="130"/>
      <c r="N239" s="93" t="e">
        <f t="shared" si="163"/>
        <v>#DIV/0!</v>
      </c>
      <c r="O239" s="95">
        <v>0</v>
      </c>
      <c r="P239" s="95">
        <v>0</v>
      </c>
      <c r="Q239" s="93">
        <v>0</v>
      </c>
    </row>
    <row r="240" ht="15.75" hidden="1" customHeight="1" outlineLevel="1">
      <c r="A240" s="11"/>
      <c r="B240" s="112" t="s">
        <v>150</v>
      </c>
      <c r="C240" s="12"/>
      <c r="D240" s="12"/>
      <c r="E240" s="90" t="e">
        <f t="shared" si="135"/>
        <v>#DIV/0!</v>
      </c>
      <c r="F240" s="12"/>
      <c r="G240" s="12"/>
      <c r="H240" s="90"/>
      <c r="I240" s="12">
        <f t="shared" si="165"/>
        <v>0</v>
      </c>
      <c r="J240" s="12">
        <f t="shared" si="165"/>
        <v>0</v>
      </c>
      <c r="K240" s="90" t="e">
        <f t="shared" si="136"/>
        <v>#DIV/0!</v>
      </c>
      <c r="L240" s="129"/>
      <c r="M240" s="130"/>
      <c r="N240" s="93" t="e">
        <f t="shared" si="163"/>
        <v>#DIV/0!</v>
      </c>
      <c r="O240" s="95">
        <v>0</v>
      </c>
      <c r="P240" s="95">
        <v>0</v>
      </c>
      <c r="Q240" s="93">
        <v>0</v>
      </c>
    </row>
    <row r="241" ht="15.75" hidden="1" customHeight="1" outlineLevel="1">
      <c r="A241" s="11"/>
      <c r="B241" s="11" t="s">
        <v>151</v>
      </c>
      <c r="C241" s="12"/>
      <c r="D241" s="12"/>
      <c r="E241" s="90" t="e">
        <f t="shared" si="135"/>
        <v>#DIV/0!</v>
      </c>
      <c r="F241" s="12"/>
      <c r="G241" s="12"/>
      <c r="H241" s="90"/>
      <c r="I241" s="12">
        <f t="shared" si="165"/>
        <v>0</v>
      </c>
      <c r="J241" s="12">
        <f t="shared" si="165"/>
        <v>0</v>
      </c>
      <c r="K241" s="90" t="e">
        <f t="shared" si="136"/>
        <v>#DIV/0!</v>
      </c>
      <c r="L241" s="129"/>
      <c r="M241" s="130"/>
      <c r="N241" s="93" t="e">
        <f t="shared" si="163"/>
        <v>#DIV/0!</v>
      </c>
      <c r="O241" s="130"/>
      <c r="P241" s="130"/>
      <c r="Q241" s="93" t="e">
        <f t="shared" si="137"/>
        <v>#DIV/0!</v>
      </c>
    </row>
    <row r="242" ht="15.75" hidden="1" customHeight="1" outlineLevel="1">
      <c r="A242" s="11"/>
      <c r="B242" s="11" t="s">
        <v>152</v>
      </c>
      <c r="C242" s="12"/>
      <c r="D242" s="12"/>
      <c r="E242" s="90" t="e">
        <f t="shared" si="135"/>
        <v>#DIV/0!</v>
      </c>
      <c r="F242" s="12"/>
      <c r="G242" s="12"/>
      <c r="H242" s="90"/>
      <c r="I242" s="12">
        <f t="shared" si="165"/>
        <v>0</v>
      </c>
      <c r="J242" s="12">
        <f t="shared" si="165"/>
        <v>0</v>
      </c>
      <c r="K242" s="90" t="e">
        <f t="shared" si="136"/>
        <v>#DIV/0!</v>
      </c>
      <c r="L242" s="129"/>
      <c r="M242" s="130"/>
      <c r="N242" s="93" t="e">
        <f t="shared" si="163"/>
        <v>#DIV/0!</v>
      </c>
      <c r="O242" s="130"/>
      <c r="P242" s="130"/>
      <c r="Q242" s="93" t="e">
        <f t="shared" si="137"/>
        <v>#DIV/0!</v>
      </c>
    </row>
    <row r="243" ht="15.75" hidden="1" customHeight="1" outlineLevel="1">
      <c r="A243" s="11"/>
      <c r="B243" s="11" t="s">
        <v>153</v>
      </c>
      <c r="C243" s="12"/>
      <c r="D243" s="12"/>
      <c r="E243" s="90" t="e">
        <f t="shared" si="135"/>
        <v>#DIV/0!</v>
      </c>
      <c r="F243" s="12"/>
      <c r="G243" s="12"/>
      <c r="H243" s="90"/>
      <c r="I243" s="12">
        <f t="shared" si="165"/>
        <v>0</v>
      </c>
      <c r="J243" s="12">
        <f t="shared" si="165"/>
        <v>0</v>
      </c>
      <c r="K243" s="90" t="e">
        <f t="shared" si="136"/>
        <v>#DIV/0!</v>
      </c>
      <c r="L243" s="94"/>
      <c r="M243" s="95"/>
      <c r="N243" s="93" t="e">
        <f t="shared" si="163"/>
        <v>#DIV/0!</v>
      </c>
      <c r="O243" s="95"/>
      <c r="P243" s="95"/>
      <c r="Q243" s="93" t="e">
        <f t="shared" si="137"/>
        <v>#DIV/0!</v>
      </c>
    </row>
    <row r="244" ht="15.75" hidden="1" customHeight="1" outlineLevel="1">
      <c r="A244" s="11"/>
      <c r="B244" s="11" t="s">
        <v>154</v>
      </c>
      <c r="C244" s="12"/>
      <c r="D244" s="12"/>
      <c r="E244" s="90" t="e">
        <f t="shared" si="135"/>
        <v>#DIV/0!</v>
      </c>
      <c r="F244" s="12"/>
      <c r="G244" s="12"/>
      <c r="H244" s="90"/>
      <c r="I244" s="12">
        <f t="shared" si="165"/>
        <v>0</v>
      </c>
      <c r="J244" s="12">
        <f t="shared" si="165"/>
        <v>0</v>
      </c>
      <c r="K244" s="90" t="e">
        <f t="shared" si="136"/>
        <v>#DIV/0!</v>
      </c>
      <c r="L244" s="129"/>
      <c r="M244" s="130"/>
      <c r="N244" s="93" t="e">
        <f t="shared" si="163"/>
        <v>#DIV/0!</v>
      </c>
      <c r="O244" s="130"/>
      <c r="P244" s="130"/>
      <c r="Q244" s="93" t="e">
        <f t="shared" si="137"/>
        <v>#DIV/0!</v>
      </c>
    </row>
    <row r="245" ht="15.75" hidden="1" customHeight="1" outlineLevel="1">
      <c r="A245" s="11"/>
      <c r="B245" s="11" t="s">
        <v>155</v>
      </c>
      <c r="C245" s="12"/>
      <c r="D245" s="12"/>
      <c r="E245" s="90" t="e">
        <f t="shared" si="135"/>
        <v>#DIV/0!</v>
      </c>
      <c r="F245" s="12"/>
      <c r="G245" s="12"/>
      <c r="H245" s="90"/>
      <c r="I245" s="12">
        <f t="shared" si="165"/>
        <v>0</v>
      </c>
      <c r="J245" s="12">
        <f t="shared" si="165"/>
        <v>0</v>
      </c>
      <c r="K245" s="90" t="e">
        <f t="shared" si="136"/>
        <v>#DIV/0!</v>
      </c>
      <c r="L245" s="129"/>
      <c r="M245" s="95"/>
      <c r="N245" s="93" t="e">
        <f t="shared" si="163"/>
        <v>#DIV/0!</v>
      </c>
      <c r="O245" s="130"/>
      <c r="P245" s="130"/>
      <c r="Q245" s="93" t="e">
        <f t="shared" si="137"/>
        <v>#DIV/0!</v>
      </c>
    </row>
    <row r="246" ht="15.75" hidden="1" customHeight="1" outlineLevel="1">
      <c r="A246" s="11"/>
      <c r="B246" s="11" t="s">
        <v>156</v>
      </c>
      <c r="C246" s="12"/>
      <c r="D246" s="12"/>
      <c r="E246" s="90" t="e">
        <f t="shared" si="135"/>
        <v>#DIV/0!</v>
      </c>
      <c r="F246" s="96"/>
      <c r="G246" s="12"/>
      <c r="H246" s="90"/>
      <c r="I246" s="12">
        <f t="shared" si="165"/>
        <v>0</v>
      </c>
      <c r="J246" s="12">
        <f t="shared" si="165"/>
        <v>0</v>
      </c>
      <c r="K246" s="90" t="e">
        <f t="shared" si="136"/>
        <v>#DIV/0!</v>
      </c>
      <c r="L246" s="129"/>
      <c r="M246" s="130"/>
      <c r="N246" s="93" t="e">
        <f t="shared" si="163"/>
        <v>#DIV/0!</v>
      </c>
      <c r="O246" s="130"/>
      <c r="P246" s="95"/>
      <c r="Q246" s="93" t="e">
        <f t="shared" si="137"/>
        <v>#DIV/0!</v>
      </c>
    </row>
    <row r="247" ht="15.75" customHeight="1" collapsed="1">
      <c r="A247" s="88" t="s">
        <v>184</v>
      </c>
      <c r="B247" s="88" t="s">
        <v>148</v>
      </c>
      <c r="C247" s="89">
        <f t="shared" si="151"/>
        <v>0</v>
      </c>
      <c r="D247" s="89">
        <f t="shared" si="151"/>
        <v>0</v>
      </c>
      <c r="E247" s="90" t="e">
        <f t="shared" si="135"/>
        <v>#DIV/0!</v>
      </c>
      <c r="F247" s="89">
        <f t="shared" si="152"/>
        <v>0</v>
      </c>
      <c r="G247" s="89">
        <f t="shared" si="152"/>
        <v>0</v>
      </c>
      <c r="H247" s="90" t="e">
        <f t="shared" si="138"/>
        <v>#DIV/0!</v>
      </c>
      <c r="I247" s="89">
        <f t="shared" ref="I247:J247" si="166">SUM(I248:I255)</f>
        <v>0</v>
      </c>
      <c r="J247" s="89">
        <f t="shared" si="166"/>
        <v>0</v>
      </c>
      <c r="K247" s="90" t="e">
        <f t="shared" si="136"/>
        <v>#DIV/0!</v>
      </c>
      <c r="L247" s="91">
        <f t="shared" si="154"/>
        <v>0</v>
      </c>
      <c r="M247" s="92">
        <f t="shared" si="154"/>
        <v>0</v>
      </c>
      <c r="N247" s="93" t="e">
        <f t="shared" si="163"/>
        <v>#DIV/0!</v>
      </c>
      <c r="O247" s="92">
        <f t="shared" si="155"/>
        <v>0</v>
      </c>
      <c r="P247" s="92">
        <f t="shared" si="155"/>
        <v>0</v>
      </c>
      <c r="Q247" s="93" t="e">
        <f t="shared" si="137"/>
        <v>#DIV/0!</v>
      </c>
      <c r="R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</row>
    <row r="248" ht="15.75" hidden="1" customHeight="1" outlineLevel="1">
      <c r="A248" s="11"/>
      <c r="B248" s="11" t="s">
        <v>149</v>
      </c>
      <c r="C248" s="12"/>
      <c r="D248" s="12"/>
      <c r="E248" s="90" t="e">
        <f t="shared" si="135"/>
        <v>#DIV/0!</v>
      </c>
      <c r="F248" s="12"/>
      <c r="G248" s="12"/>
      <c r="H248" s="90"/>
      <c r="I248" s="12">
        <f t="shared" ref="I248:J255" si="167">C248-F248</f>
        <v>0</v>
      </c>
      <c r="J248" s="12">
        <f t="shared" si="167"/>
        <v>0</v>
      </c>
      <c r="K248" s="90" t="e">
        <f t="shared" si="136"/>
        <v>#DIV/0!</v>
      </c>
      <c r="L248" s="129"/>
      <c r="M248" s="130"/>
      <c r="N248" s="93" t="e">
        <f t="shared" si="163"/>
        <v>#DIV/0!</v>
      </c>
      <c r="O248" s="95">
        <v>0</v>
      </c>
      <c r="P248" s="95">
        <v>0</v>
      </c>
      <c r="Q248" s="93">
        <v>0</v>
      </c>
      <c r="S248" s="11" t="s">
        <v>185</v>
      </c>
      <c r="T248" s="131"/>
      <c r="U248" s="132"/>
      <c r="V248" s="132"/>
    </row>
    <row r="249" ht="15.75" hidden="1" customHeight="1" outlineLevel="1">
      <c r="A249" s="11"/>
      <c r="B249" s="112" t="s">
        <v>150</v>
      </c>
      <c r="C249" s="12"/>
      <c r="D249" s="12"/>
      <c r="E249" s="90" t="e">
        <f t="shared" si="135"/>
        <v>#DIV/0!</v>
      </c>
      <c r="F249" s="12"/>
      <c r="G249" s="12"/>
      <c r="H249" s="90"/>
      <c r="I249" s="12">
        <f t="shared" si="167"/>
        <v>0</v>
      </c>
      <c r="J249" s="12">
        <f t="shared" si="167"/>
        <v>0</v>
      </c>
      <c r="K249" s="90" t="e">
        <f t="shared" si="136"/>
        <v>#DIV/0!</v>
      </c>
      <c r="L249" s="129"/>
      <c r="M249" s="130"/>
      <c r="N249" s="93" t="e">
        <f t="shared" si="163"/>
        <v>#DIV/0!</v>
      </c>
      <c r="O249" s="95">
        <v>0</v>
      </c>
      <c r="P249" s="95">
        <v>0</v>
      </c>
      <c r="Q249" s="93">
        <v>0</v>
      </c>
      <c r="S249" s="11" t="s">
        <v>186</v>
      </c>
      <c r="T249" s="133">
        <v>0.59999999999999998</v>
      </c>
      <c r="U249" s="134">
        <v>0.29999999999999999</v>
      </c>
      <c r="V249" s="134">
        <v>0.10000000000000001</v>
      </c>
    </row>
    <row r="250" ht="15.75" hidden="1" customHeight="1" outlineLevel="1">
      <c r="A250" s="11"/>
      <c r="B250" s="11" t="s">
        <v>151</v>
      </c>
      <c r="C250" s="12"/>
      <c r="D250" s="12"/>
      <c r="E250" s="90" t="e">
        <f t="shared" si="135"/>
        <v>#DIV/0!</v>
      </c>
      <c r="F250" s="12"/>
      <c r="G250" s="12"/>
      <c r="H250" s="90"/>
      <c r="I250" s="12">
        <f t="shared" si="167"/>
        <v>0</v>
      </c>
      <c r="J250" s="12">
        <f t="shared" si="167"/>
        <v>0</v>
      </c>
      <c r="K250" s="90" t="e">
        <f t="shared" si="136"/>
        <v>#DIV/0!</v>
      </c>
      <c r="L250" s="129"/>
      <c r="M250" s="130"/>
      <c r="N250" s="93" t="e">
        <f t="shared" si="163"/>
        <v>#DIV/0!</v>
      </c>
      <c r="O250" s="130"/>
      <c r="P250" s="130"/>
      <c r="Q250" s="93" t="e">
        <f t="shared" si="137"/>
        <v>#DIV/0!</v>
      </c>
      <c r="S250" s="11" t="s">
        <v>152</v>
      </c>
      <c r="T250" s="131"/>
      <c r="U250" s="132"/>
      <c r="V250" s="132"/>
    </row>
    <row r="251" ht="15.75" hidden="1" customHeight="1" outlineLevel="1">
      <c r="A251" s="11"/>
      <c r="B251" s="11" t="s">
        <v>152</v>
      </c>
      <c r="C251" s="12"/>
      <c r="D251" s="12"/>
      <c r="E251" s="90" t="e">
        <f t="shared" si="135"/>
        <v>#DIV/0!</v>
      </c>
      <c r="F251" s="12"/>
      <c r="G251" s="12"/>
      <c r="H251" s="90"/>
      <c r="I251" s="12">
        <f t="shared" si="167"/>
        <v>0</v>
      </c>
      <c r="J251" s="12">
        <f t="shared" si="167"/>
        <v>0</v>
      </c>
      <c r="K251" s="90" t="e">
        <f t="shared" si="136"/>
        <v>#DIV/0!</v>
      </c>
      <c r="L251" s="129"/>
      <c r="M251" s="130"/>
      <c r="N251" s="93" t="e">
        <f t="shared" si="163"/>
        <v>#DIV/0!</v>
      </c>
      <c r="O251" s="130"/>
      <c r="P251" s="130"/>
      <c r="Q251" s="93" t="e">
        <f t="shared" si="137"/>
        <v>#DIV/0!</v>
      </c>
      <c r="S251" s="11" t="s">
        <v>187</v>
      </c>
      <c r="T251" s="131"/>
      <c r="U251" s="132"/>
      <c r="V251" s="132"/>
    </row>
    <row r="252" ht="15.75" hidden="1" customHeight="1" outlineLevel="1">
      <c r="A252" s="11"/>
      <c r="B252" s="11" t="s">
        <v>153</v>
      </c>
      <c r="C252" s="12"/>
      <c r="D252" s="12"/>
      <c r="E252" s="90" t="e">
        <f t="shared" ref="E252:E273" si="168">D252/C252*100%</f>
        <v>#DIV/0!</v>
      </c>
      <c r="F252" s="12"/>
      <c r="G252" s="12"/>
      <c r="H252" s="90"/>
      <c r="I252" s="12">
        <f t="shared" si="167"/>
        <v>0</v>
      </c>
      <c r="J252" s="12">
        <f t="shared" si="167"/>
        <v>0</v>
      </c>
      <c r="K252" s="90" t="e">
        <f t="shared" ref="K252:K273" si="169">J252/I252*100%</f>
        <v>#DIV/0!</v>
      </c>
      <c r="L252" s="94"/>
      <c r="M252" s="95"/>
      <c r="N252" s="93" t="e">
        <f t="shared" si="163"/>
        <v>#DIV/0!</v>
      </c>
      <c r="O252" s="95"/>
      <c r="P252" s="130"/>
      <c r="Q252" s="93" t="e">
        <f t="shared" si="137"/>
        <v>#DIV/0!</v>
      </c>
      <c r="S252" s="11" t="s">
        <v>153</v>
      </c>
      <c r="T252" s="131"/>
      <c r="U252" s="132"/>
      <c r="V252" s="132"/>
    </row>
    <row r="253" ht="15.75" hidden="1" customHeight="1" outlineLevel="1">
      <c r="A253" s="11"/>
      <c r="B253" s="11" t="s">
        <v>154</v>
      </c>
      <c r="C253" s="12"/>
      <c r="D253" s="12"/>
      <c r="E253" s="90" t="e">
        <f t="shared" si="168"/>
        <v>#DIV/0!</v>
      </c>
      <c r="F253" s="12"/>
      <c r="G253" s="12"/>
      <c r="H253" s="90"/>
      <c r="I253" s="12">
        <f t="shared" si="167"/>
        <v>0</v>
      </c>
      <c r="J253" s="12">
        <f t="shared" si="167"/>
        <v>0</v>
      </c>
      <c r="K253" s="90" t="e">
        <f t="shared" si="169"/>
        <v>#DIV/0!</v>
      </c>
      <c r="L253" s="129"/>
      <c r="M253" s="130"/>
      <c r="N253" s="93" t="e">
        <f t="shared" si="163"/>
        <v>#DIV/0!</v>
      </c>
      <c r="O253" s="130"/>
      <c r="P253" s="130"/>
      <c r="Q253" s="93" t="e">
        <f t="shared" si="137"/>
        <v>#DIV/0!</v>
      </c>
      <c r="S253" s="11" t="s">
        <v>188</v>
      </c>
      <c r="T253" s="131"/>
      <c r="U253" s="132"/>
      <c r="V253" s="132"/>
    </row>
    <row r="254" ht="15.75" hidden="1" customHeight="1" outlineLevel="1">
      <c r="A254" s="11"/>
      <c r="B254" s="11" t="s">
        <v>155</v>
      </c>
      <c r="C254" s="12"/>
      <c r="D254" s="12"/>
      <c r="E254" s="90" t="e">
        <f t="shared" si="168"/>
        <v>#DIV/0!</v>
      </c>
      <c r="F254" s="12"/>
      <c r="G254" s="12"/>
      <c r="H254" s="90"/>
      <c r="I254" s="12">
        <f t="shared" si="167"/>
        <v>0</v>
      </c>
      <c r="J254" s="12">
        <f t="shared" si="167"/>
        <v>0</v>
      </c>
      <c r="K254" s="90" t="e">
        <f t="shared" si="169"/>
        <v>#DIV/0!</v>
      </c>
      <c r="L254" s="129"/>
      <c r="M254" s="95"/>
      <c r="N254" s="93" t="e">
        <f t="shared" si="163"/>
        <v>#DIV/0!</v>
      </c>
      <c r="O254" s="130"/>
      <c r="P254" s="130"/>
      <c r="Q254" s="93" t="e">
        <f t="shared" si="137"/>
        <v>#DIV/0!</v>
      </c>
      <c r="S254" s="11" t="s">
        <v>189</v>
      </c>
      <c r="T254" s="131"/>
      <c r="U254" s="132"/>
      <c r="V254" s="132"/>
    </row>
    <row r="255" ht="15.75" hidden="1" customHeight="1" outlineLevel="1">
      <c r="A255" s="11"/>
      <c r="B255" s="11" t="s">
        <v>156</v>
      </c>
      <c r="C255" s="12"/>
      <c r="D255" s="12"/>
      <c r="E255" s="90" t="e">
        <f t="shared" si="168"/>
        <v>#DIV/0!</v>
      </c>
      <c r="F255" s="96"/>
      <c r="G255" s="12"/>
      <c r="H255" s="90"/>
      <c r="I255" s="12">
        <f t="shared" si="167"/>
        <v>0</v>
      </c>
      <c r="J255" s="12">
        <f t="shared" si="167"/>
        <v>0</v>
      </c>
      <c r="K255" s="90" t="e">
        <f t="shared" si="169"/>
        <v>#DIV/0!</v>
      </c>
      <c r="L255" s="129"/>
      <c r="M255" s="130"/>
      <c r="N255" s="93" t="e">
        <f t="shared" si="163"/>
        <v>#DIV/0!</v>
      </c>
      <c r="O255" s="130"/>
      <c r="P255" s="95"/>
      <c r="Q255" s="93" t="e">
        <f t="shared" ref="Q255:Q273" si="170">P255/O255*100%</f>
        <v>#DIV/0!</v>
      </c>
      <c r="T255" s="135"/>
      <c r="U255" s="136"/>
      <c r="V255" s="136"/>
    </row>
    <row r="256" ht="15.75" customHeight="1" collapsed="1">
      <c r="A256" s="97" t="s">
        <v>190</v>
      </c>
      <c r="B256" s="97" t="s">
        <v>148</v>
      </c>
      <c r="C256" s="99" t="e">
        <f t="shared" si="151"/>
        <v>#NUM!</v>
      </c>
      <c r="D256" s="99">
        <f t="shared" si="151"/>
        <v>0</v>
      </c>
      <c r="E256" s="100" t="e">
        <f t="shared" si="168"/>
        <v>#NUM!</v>
      </c>
      <c r="F256" s="89" t="e">
        <f t="shared" si="152"/>
        <v>#NUM!</v>
      </c>
      <c r="G256" s="89">
        <f t="shared" si="152"/>
        <v>0</v>
      </c>
      <c r="H256" s="90" t="e">
        <f t="shared" ref="H249:H273" si="171">G256/F256*100%</f>
        <v>#NUM!</v>
      </c>
      <c r="I256" s="89" t="e">
        <f t="shared" ref="I256:J256" si="172">SUM(I257:I264)</f>
        <v>#NUM!</v>
      </c>
      <c r="J256" s="89">
        <f t="shared" si="172"/>
        <v>0</v>
      </c>
      <c r="K256" s="90" t="e">
        <f t="shared" si="169"/>
        <v>#NUM!</v>
      </c>
      <c r="L256" s="137" t="e">
        <f t="shared" si="154"/>
        <v>#NUM!</v>
      </c>
      <c r="M256" s="102">
        <f t="shared" si="154"/>
        <v>0</v>
      </c>
      <c r="N256" s="103" t="e">
        <f t="shared" si="163"/>
        <v>#NUM!</v>
      </c>
      <c r="O256" s="102" t="e">
        <f t="shared" si="155"/>
        <v>#NUM!</v>
      </c>
      <c r="P256" s="102">
        <f t="shared" si="155"/>
        <v>0</v>
      </c>
      <c r="Q256" s="103" t="e">
        <f t="shared" si="170"/>
        <v>#NUM!</v>
      </c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</row>
    <row r="257" ht="15.75" hidden="1" customHeight="1" outlineLevel="1">
      <c r="A257" s="97"/>
      <c r="B257" s="106" t="s">
        <v>149</v>
      </c>
      <c r="C257" s="107" t="e">
        <f t="shared" ref="C257:C264" si="173">AVERAGE(C203,C221,C212,C230,C239,C248)</f>
        <v>#NUM!</v>
      </c>
      <c r="D257" s="108">
        <f t="shared" ref="D257:D264" si="174">D248+D239+D230+D221+D212+D203</f>
        <v>0</v>
      </c>
      <c r="E257" s="100" t="e">
        <f t="shared" si="168"/>
        <v>#NUM!</v>
      </c>
      <c r="F257" s="107" t="e">
        <f t="shared" ref="F257:F258" si="175">AVERAGE(F203,F221,F212,F230,F239,F248)</f>
        <v>#NUM!</v>
      </c>
      <c r="G257" s="108">
        <f t="shared" ref="G257:G258" si="176">G248+G239+G230+G221+G212+G203</f>
        <v>0</v>
      </c>
      <c r="H257" s="100" t="e">
        <f t="shared" si="171"/>
        <v>#NUM!</v>
      </c>
      <c r="I257" s="12" t="e">
        <f t="shared" ref="I257:J264" si="177">C257-F257</f>
        <v>#NUM!</v>
      </c>
      <c r="J257" s="12">
        <f t="shared" si="177"/>
        <v>0</v>
      </c>
      <c r="K257" s="90" t="e">
        <f t="shared" si="169"/>
        <v>#NUM!</v>
      </c>
      <c r="L257" s="109" t="e">
        <f t="shared" ref="L257:L264" si="178">AVERAGE(L203,L221,L212,L230,L239,L248)</f>
        <v>#NUM!</v>
      </c>
      <c r="M257" s="110">
        <f t="shared" ref="M257:M264" si="179">M248+M239+M230+M221+M212+M203</f>
        <v>0</v>
      </c>
      <c r="N257" s="103" t="e">
        <f t="shared" si="163"/>
        <v>#NUM!</v>
      </c>
      <c r="O257" s="111">
        <f t="shared" ref="O257:O264" si="180">AVERAGE(O203,O221,O212,O230,O239,O248)</f>
        <v>0</v>
      </c>
      <c r="P257" s="110">
        <f t="shared" ref="P257:P264" si="181">P248+P239+P230+P221+P212+P203</f>
        <v>0</v>
      </c>
      <c r="Q257" s="103" t="e">
        <f t="shared" si="170"/>
        <v>#DIV/0!</v>
      </c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</row>
    <row r="258" ht="15.75" hidden="1" customHeight="1" outlineLevel="1">
      <c r="A258" s="97"/>
      <c r="B258" s="106" t="s">
        <v>150</v>
      </c>
      <c r="C258" s="107" t="e">
        <f t="shared" si="173"/>
        <v>#NUM!</v>
      </c>
      <c r="D258" s="108">
        <f t="shared" si="174"/>
        <v>0</v>
      </c>
      <c r="E258" s="100" t="e">
        <f t="shared" si="168"/>
        <v>#NUM!</v>
      </c>
      <c r="F258" s="107" t="e">
        <f t="shared" si="175"/>
        <v>#NUM!</v>
      </c>
      <c r="G258" s="108">
        <f t="shared" si="176"/>
        <v>0</v>
      </c>
      <c r="H258" s="100" t="e">
        <f t="shared" si="171"/>
        <v>#NUM!</v>
      </c>
      <c r="I258" s="12" t="e">
        <f t="shared" si="177"/>
        <v>#NUM!</v>
      </c>
      <c r="J258" s="12">
        <f t="shared" si="177"/>
        <v>0</v>
      </c>
      <c r="K258" s="90" t="e">
        <f t="shared" si="169"/>
        <v>#NUM!</v>
      </c>
      <c r="L258" s="109" t="e">
        <f t="shared" si="178"/>
        <v>#NUM!</v>
      </c>
      <c r="M258" s="110">
        <f t="shared" si="179"/>
        <v>0</v>
      </c>
      <c r="N258" s="103" t="e">
        <f t="shared" si="163"/>
        <v>#NUM!</v>
      </c>
      <c r="O258" s="111">
        <f t="shared" si="180"/>
        <v>0</v>
      </c>
      <c r="P258" s="110">
        <f t="shared" si="181"/>
        <v>0</v>
      </c>
      <c r="Q258" s="103" t="e">
        <f t="shared" si="170"/>
        <v>#DIV/0!</v>
      </c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</row>
    <row r="259" ht="15.75" hidden="1" customHeight="1" outlineLevel="1">
      <c r="A259" s="97"/>
      <c r="B259" s="106" t="s">
        <v>151</v>
      </c>
      <c r="C259" s="107" t="e">
        <f t="shared" si="173"/>
        <v>#NUM!</v>
      </c>
      <c r="D259" s="108">
        <f t="shared" si="174"/>
        <v>0</v>
      </c>
      <c r="E259" s="100" t="e">
        <f t="shared" si="168"/>
        <v>#NUM!</v>
      </c>
      <c r="F259" s="107" t="e">
        <f>AVERAGE(F343,F223,F214,F232,F241,F250)</f>
        <v>#NUM!</v>
      </c>
      <c r="G259" s="108">
        <f>G250+G241+G232+G223+G214+G343</f>
        <v>0</v>
      </c>
      <c r="H259" s="100" t="e">
        <f t="shared" si="171"/>
        <v>#NUM!</v>
      </c>
      <c r="I259" s="12" t="e">
        <f t="shared" si="177"/>
        <v>#NUM!</v>
      </c>
      <c r="J259" s="12">
        <f t="shared" si="177"/>
        <v>0</v>
      </c>
      <c r="K259" s="90" t="e">
        <f t="shared" si="169"/>
        <v>#NUM!</v>
      </c>
      <c r="L259" s="109" t="e">
        <f t="shared" si="178"/>
        <v>#NUM!</v>
      </c>
      <c r="M259" s="110">
        <f t="shared" si="179"/>
        <v>0</v>
      </c>
      <c r="N259" s="103" t="e">
        <f t="shared" si="163"/>
        <v>#NUM!</v>
      </c>
      <c r="O259" s="111" t="e">
        <f t="shared" si="180"/>
        <v>#NUM!</v>
      </c>
      <c r="P259" s="110">
        <f t="shared" si="181"/>
        <v>0</v>
      </c>
      <c r="Q259" s="103" t="e">
        <f t="shared" si="170"/>
        <v>#NUM!</v>
      </c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</row>
    <row r="260" ht="15.75" hidden="1" customHeight="1" outlineLevel="1">
      <c r="A260" s="97"/>
      <c r="B260" s="106" t="s">
        <v>152</v>
      </c>
      <c r="C260" s="107" t="e">
        <f t="shared" si="173"/>
        <v>#NUM!</v>
      </c>
      <c r="D260" s="108">
        <f t="shared" si="174"/>
        <v>0</v>
      </c>
      <c r="E260" s="100" t="e">
        <f t="shared" si="168"/>
        <v>#NUM!</v>
      </c>
      <c r="F260" s="107" t="e">
        <f t="shared" ref="F260:F263" si="182">AVERAGE(F206,F224,F215,F233,F242,F251)</f>
        <v>#NUM!</v>
      </c>
      <c r="G260" s="108">
        <f t="shared" ref="G260:G264" si="183">G251+G242+G233+G224+G215+G206</f>
        <v>0</v>
      </c>
      <c r="H260" s="100" t="e">
        <f t="shared" si="171"/>
        <v>#NUM!</v>
      </c>
      <c r="I260" s="12" t="e">
        <f t="shared" si="177"/>
        <v>#NUM!</v>
      </c>
      <c r="J260" s="12">
        <f t="shared" si="177"/>
        <v>0</v>
      </c>
      <c r="K260" s="90" t="e">
        <f t="shared" si="169"/>
        <v>#NUM!</v>
      </c>
      <c r="L260" s="109" t="e">
        <f t="shared" si="178"/>
        <v>#NUM!</v>
      </c>
      <c r="M260" s="110">
        <f t="shared" si="179"/>
        <v>0</v>
      </c>
      <c r="N260" s="103" t="e">
        <f t="shared" si="163"/>
        <v>#NUM!</v>
      </c>
      <c r="O260" s="111" t="e">
        <f t="shared" si="180"/>
        <v>#NUM!</v>
      </c>
      <c r="P260" s="110">
        <f t="shared" si="181"/>
        <v>0</v>
      </c>
      <c r="Q260" s="103" t="e">
        <f t="shared" si="170"/>
        <v>#NUM!</v>
      </c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</row>
    <row r="261" ht="15.75" hidden="1" customHeight="1" outlineLevel="1">
      <c r="A261" s="97"/>
      <c r="B261" s="106" t="s">
        <v>153</v>
      </c>
      <c r="C261" s="107" t="e">
        <f t="shared" si="173"/>
        <v>#NUM!</v>
      </c>
      <c r="D261" s="108">
        <f t="shared" si="174"/>
        <v>0</v>
      </c>
      <c r="E261" s="100" t="e">
        <f t="shared" si="168"/>
        <v>#NUM!</v>
      </c>
      <c r="F261" s="107" t="e">
        <f t="shared" si="182"/>
        <v>#NUM!</v>
      </c>
      <c r="G261" s="108">
        <f t="shared" si="183"/>
        <v>0</v>
      </c>
      <c r="H261" s="100" t="e">
        <f t="shared" si="171"/>
        <v>#NUM!</v>
      </c>
      <c r="I261" s="12" t="e">
        <f t="shared" si="177"/>
        <v>#NUM!</v>
      </c>
      <c r="J261" s="12">
        <f t="shared" si="177"/>
        <v>0</v>
      </c>
      <c r="K261" s="90" t="e">
        <f t="shared" si="169"/>
        <v>#NUM!</v>
      </c>
      <c r="L261" s="109" t="e">
        <f t="shared" si="178"/>
        <v>#NUM!</v>
      </c>
      <c r="M261" s="110">
        <f t="shared" si="179"/>
        <v>0</v>
      </c>
      <c r="N261" s="103" t="e">
        <f t="shared" si="163"/>
        <v>#NUM!</v>
      </c>
      <c r="O261" s="111" t="e">
        <f t="shared" si="180"/>
        <v>#NUM!</v>
      </c>
      <c r="P261" s="110">
        <f t="shared" si="181"/>
        <v>0</v>
      </c>
      <c r="Q261" s="103" t="e">
        <f t="shared" si="170"/>
        <v>#NUM!</v>
      </c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</row>
    <row r="262" ht="15.75" hidden="1" customHeight="1" outlineLevel="1">
      <c r="A262" s="97"/>
      <c r="B262" s="106" t="s">
        <v>154</v>
      </c>
      <c r="C262" s="107" t="e">
        <f t="shared" si="173"/>
        <v>#NUM!</v>
      </c>
      <c r="D262" s="108">
        <f t="shared" si="174"/>
        <v>0</v>
      </c>
      <c r="E262" s="100" t="e">
        <f t="shared" si="168"/>
        <v>#NUM!</v>
      </c>
      <c r="F262" s="107" t="e">
        <f t="shared" si="182"/>
        <v>#NUM!</v>
      </c>
      <c r="G262" s="108">
        <f t="shared" si="183"/>
        <v>0</v>
      </c>
      <c r="H262" s="100" t="e">
        <f t="shared" si="171"/>
        <v>#NUM!</v>
      </c>
      <c r="I262" s="12" t="e">
        <f t="shared" si="177"/>
        <v>#NUM!</v>
      </c>
      <c r="J262" s="12">
        <f t="shared" si="177"/>
        <v>0</v>
      </c>
      <c r="K262" s="90" t="e">
        <f t="shared" si="169"/>
        <v>#NUM!</v>
      </c>
      <c r="L262" s="109" t="e">
        <f t="shared" si="178"/>
        <v>#NUM!</v>
      </c>
      <c r="M262" s="110">
        <f t="shared" si="179"/>
        <v>0</v>
      </c>
      <c r="N262" s="103" t="e">
        <f t="shared" si="163"/>
        <v>#NUM!</v>
      </c>
      <c r="O262" s="111" t="e">
        <f t="shared" si="180"/>
        <v>#NUM!</v>
      </c>
      <c r="P262" s="110">
        <f t="shared" si="181"/>
        <v>0</v>
      </c>
      <c r="Q262" s="103" t="e">
        <f t="shared" si="170"/>
        <v>#NUM!</v>
      </c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</row>
    <row r="263" ht="15.75" hidden="1" customHeight="1" outlineLevel="1">
      <c r="A263" s="97"/>
      <c r="B263" s="106" t="s">
        <v>155</v>
      </c>
      <c r="C263" s="107" t="e">
        <f t="shared" si="173"/>
        <v>#NUM!</v>
      </c>
      <c r="D263" s="108">
        <f t="shared" si="174"/>
        <v>0</v>
      </c>
      <c r="E263" s="100" t="e">
        <f t="shared" si="168"/>
        <v>#NUM!</v>
      </c>
      <c r="F263" s="107" t="e">
        <f t="shared" si="182"/>
        <v>#NUM!</v>
      </c>
      <c r="G263" s="108">
        <f t="shared" si="183"/>
        <v>0</v>
      </c>
      <c r="H263" s="100" t="e">
        <f t="shared" si="171"/>
        <v>#NUM!</v>
      </c>
      <c r="I263" s="12" t="e">
        <f t="shared" si="177"/>
        <v>#NUM!</v>
      </c>
      <c r="J263" s="12">
        <f t="shared" si="177"/>
        <v>0</v>
      </c>
      <c r="K263" s="90" t="e">
        <f t="shared" si="169"/>
        <v>#NUM!</v>
      </c>
      <c r="L263" s="109" t="e">
        <f t="shared" si="178"/>
        <v>#NUM!</v>
      </c>
      <c r="M263" s="110">
        <f t="shared" si="179"/>
        <v>0</v>
      </c>
      <c r="N263" s="103" t="e">
        <f t="shared" si="163"/>
        <v>#NUM!</v>
      </c>
      <c r="O263" s="111" t="e">
        <f t="shared" si="180"/>
        <v>#NUM!</v>
      </c>
      <c r="P263" s="110">
        <f t="shared" si="181"/>
        <v>0</v>
      </c>
      <c r="Q263" s="103" t="e">
        <f t="shared" si="170"/>
        <v>#NUM!</v>
      </c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</row>
    <row r="264" ht="15.75" hidden="1" customHeight="1" outlineLevel="1">
      <c r="A264" s="97"/>
      <c r="B264" s="106" t="s">
        <v>156</v>
      </c>
      <c r="C264" s="107" t="e">
        <f t="shared" si="173"/>
        <v>#NUM!</v>
      </c>
      <c r="D264" s="108">
        <f t="shared" si="174"/>
        <v>0</v>
      </c>
      <c r="E264" s="100" t="e">
        <f t="shared" si="168"/>
        <v>#NUM!</v>
      </c>
      <c r="F264" s="107" t="e">
        <f>AVERAGE(F209,F228,F219,F237,F246,F255)</f>
        <v>#NUM!</v>
      </c>
      <c r="G264" s="108">
        <f t="shared" si="183"/>
        <v>0</v>
      </c>
      <c r="H264" s="100" t="e">
        <f t="shared" si="171"/>
        <v>#NUM!</v>
      </c>
      <c r="I264" s="12" t="e">
        <f t="shared" si="177"/>
        <v>#NUM!</v>
      </c>
      <c r="J264" s="12">
        <f t="shared" si="177"/>
        <v>0</v>
      </c>
      <c r="K264" s="90" t="e">
        <f t="shared" si="169"/>
        <v>#NUM!</v>
      </c>
      <c r="L264" s="109" t="e">
        <f t="shared" si="178"/>
        <v>#NUM!</v>
      </c>
      <c r="M264" s="110">
        <f t="shared" si="179"/>
        <v>0</v>
      </c>
      <c r="N264" s="103" t="e">
        <f t="shared" si="163"/>
        <v>#NUM!</v>
      </c>
      <c r="O264" s="111" t="e">
        <f t="shared" si="180"/>
        <v>#NUM!</v>
      </c>
      <c r="P264" s="110">
        <f t="shared" si="181"/>
        <v>0</v>
      </c>
      <c r="Q264" s="103" t="e">
        <f t="shared" si="170"/>
        <v>#NUM!</v>
      </c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</row>
    <row r="265" ht="15.75" customHeight="1" collapsed="1">
      <c r="A265" s="114" t="s">
        <v>191</v>
      </c>
      <c r="B265" s="114" t="s">
        <v>148</v>
      </c>
      <c r="C265" s="116" t="e">
        <f t="shared" ref="C265:D265" si="184">SUM(C266:C273)</f>
        <v>#NUM!</v>
      </c>
      <c r="D265" s="116">
        <f t="shared" si="184"/>
        <v>61.549999999999997</v>
      </c>
      <c r="E265" s="117" t="e">
        <f t="shared" si="168"/>
        <v>#NUM!</v>
      </c>
      <c r="F265" s="115" t="e">
        <f t="shared" ref="F265:G265" si="185">SUM(F266:F273)</f>
        <v>#NUM!</v>
      </c>
      <c r="G265" s="116">
        <f t="shared" si="185"/>
        <v>1.5</v>
      </c>
      <c r="H265" s="117" t="e">
        <f t="shared" si="171"/>
        <v>#NUM!</v>
      </c>
      <c r="I265" s="116" t="e">
        <f t="shared" ref="I265:J265" si="186">SUM(I266:I273)</f>
        <v>#NUM!</v>
      </c>
      <c r="J265" s="116">
        <f t="shared" si="186"/>
        <v>60.049999999999997</v>
      </c>
      <c r="K265" s="117" t="e">
        <f t="shared" si="169"/>
        <v>#NUM!</v>
      </c>
      <c r="L265" s="138" t="e">
        <f t="shared" ref="L265:M265" si="187">SUM(L266:L273)</f>
        <v>#NUM!</v>
      </c>
      <c r="M265" s="119">
        <f t="shared" si="187"/>
        <v>7</v>
      </c>
      <c r="N265" s="120" t="e">
        <f t="shared" si="163"/>
        <v>#NUM!</v>
      </c>
      <c r="O265" s="119" t="e">
        <f t="shared" ref="O265:P265" si="188">SUM(O266:O273)</f>
        <v>#NUM!</v>
      </c>
      <c r="P265" s="119">
        <f t="shared" si="188"/>
        <v>6</v>
      </c>
      <c r="Q265" s="120" t="e">
        <f t="shared" si="170"/>
        <v>#NUM!</v>
      </c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  <c r="AB265" s="122"/>
      <c r="AC265" s="122"/>
      <c r="AD265" s="122"/>
      <c r="AE265" s="122"/>
      <c r="AF265" s="122"/>
      <c r="AG265" s="122"/>
    </row>
    <row r="266" ht="15.75" hidden="1" customHeight="1" outlineLevel="1">
      <c r="A266" s="11"/>
      <c r="B266" s="123" t="s">
        <v>149</v>
      </c>
      <c r="C266" s="125" t="e">
        <f t="shared" ref="C266:C273" si="189">AVERAGE(C194,C257)</f>
        <v>#NUM!</v>
      </c>
      <c r="D266" s="125">
        <f t="shared" ref="D266:D273" si="190">D194+D257</f>
        <v>10</v>
      </c>
      <c r="E266" s="117" t="e">
        <f t="shared" si="168"/>
        <v>#NUM!</v>
      </c>
      <c r="F266" s="125" t="e">
        <f t="shared" ref="F266:F273" si="191">AVERAGE(F194,F257)</f>
        <v>#NUM!</v>
      </c>
      <c r="G266" s="125">
        <f t="shared" ref="G266:G273" si="192">G194+G257</f>
        <v>0</v>
      </c>
      <c r="H266" s="117" t="e">
        <f t="shared" si="171"/>
        <v>#NUM!</v>
      </c>
      <c r="I266" s="125" t="e">
        <f t="shared" ref="I266:J273" si="193">C266-F266</f>
        <v>#NUM!</v>
      </c>
      <c r="J266" s="125">
        <f t="shared" si="193"/>
        <v>10</v>
      </c>
      <c r="K266" s="117" t="e">
        <f t="shared" si="169"/>
        <v>#NUM!</v>
      </c>
      <c r="L266" s="139" t="e">
        <f t="shared" ref="L266:L273" si="194">AVERAGE(L194,L257)</f>
        <v>#NUM!</v>
      </c>
      <c r="M266" s="127">
        <f t="shared" ref="M266:M273" si="195">M194+M257</f>
        <v>0</v>
      </c>
      <c r="N266" s="120" t="e">
        <f t="shared" si="163"/>
        <v>#NUM!</v>
      </c>
      <c r="O266" s="128">
        <f t="shared" ref="O266:O273" si="196">AVERAGE(O194,O257)</f>
        <v>0</v>
      </c>
      <c r="P266" s="127">
        <f t="shared" ref="P266:P273" si="197">P194+P257</f>
        <v>0</v>
      </c>
      <c r="Q266" s="120" t="e">
        <f t="shared" si="170"/>
        <v>#DIV/0!</v>
      </c>
    </row>
    <row r="267" ht="15.75" hidden="1" customHeight="1" outlineLevel="1">
      <c r="A267" s="11"/>
      <c r="B267" s="123" t="s">
        <v>150</v>
      </c>
      <c r="C267" s="125" t="e">
        <f t="shared" si="189"/>
        <v>#NUM!</v>
      </c>
      <c r="D267" s="125">
        <f t="shared" si="190"/>
        <v>0</v>
      </c>
      <c r="E267" s="117" t="e">
        <f t="shared" si="168"/>
        <v>#NUM!</v>
      </c>
      <c r="F267" s="125" t="e">
        <f t="shared" si="191"/>
        <v>#NUM!</v>
      </c>
      <c r="G267" s="125">
        <f t="shared" si="192"/>
        <v>0</v>
      </c>
      <c r="H267" s="117" t="e">
        <f t="shared" si="171"/>
        <v>#NUM!</v>
      </c>
      <c r="I267" s="125" t="e">
        <f t="shared" si="193"/>
        <v>#NUM!</v>
      </c>
      <c r="J267" s="125">
        <f t="shared" si="193"/>
        <v>0</v>
      </c>
      <c r="K267" s="117" t="e">
        <f t="shared" si="169"/>
        <v>#NUM!</v>
      </c>
      <c r="L267" s="139" t="e">
        <f t="shared" si="194"/>
        <v>#NUM!</v>
      </c>
      <c r="M267" s="127">
        <f t="shared" si="195"/>
        <v>0</v>
      </c>
      <c r="N267" s="120" t="e">
        <f t="shared" si="163"/>
        <v>#NUM!</v>
      </c>
      <c r="O267" s="128">
        <f t="shared" si="196"/>
        <v>0.41666666666666669</v>
      </c>
      <c r="P267" s="127">
        <f t="shared" si="197"/>
        <v>0</v>
      </c>
      <c r="Q267" s="120">
        <f t="shared" si="170"/>
        <v>0</v>
      </c>
    </row>
    <row r="268" ht="15.75" hidden="1" customHeight="1" outlineLevel="1">
      <c r="A268" s="11"/>
      <c r="B268" s="123" t="s">
        <v>151</v>
      </c>
      <c r="C268" s="125" t="e">
        <f t="shared" si="189"/>
        <v>#NUM!</v>
      </c>
      <c r="D268" s="125">
        <f t="shared" si="190"/>
        <v>14.75</v>
      </c>
      <c r="E268" s="117" t="e">
        <f t="shared" si="168"/>
        <v>#NUM!</v>
      </c>
      <c r="F268" s="125" t="e">
        <f t="shared" si="191"/>
        <v>#NUM!</v>
      </c>
      <c r="G268" s="125">
        <f t="shared" si="192"/>
        <v>1.5</v>
      </c>
      <c r="H268" s="117" t="e">
        <f t="shared" si="171"/>
        <v>#NUM!</v>
      </c>
      <c r="I268" s="125" t="e">
        <f t="shared" si="193"/>
        <v>#NUM!</v>
      </c>
      <c r="J268" s="125">
        <f t="shared" si="193"/>
        <v>13.25</v>
      </c>
      <c r="K268" s="117" t="e">
        <f t="shared" si="169"/>
        <v>#NUM!</v>
      </c>
      <c r="L268" s="139" t="e">
        <f t="shared" si="194"/>
        <v>#NUM!</v>
      </c>
      <c r="M268" s="127">
        <f t="shared" si="195"/>
        <v>3</v>
      </c>
      <c r="N268" s="120" t="e">
        <f t="shared" si="163"/>
        <v>#NUM!</v>
      </c>
      <c r="O268" s="127" t="e">
        <f t="shared" si="196"/>
        <v>#NUM!</v>
      </c>
      <c r="P268" s="127">
        <f t="shared" si="197"/>
        <v>6</v>
      </c>
      <c r="Q268" s="120" t="e">
        <f t="shared" si="170"/>
        <v>#NUM!</v>
      </c>
    </row>
    <row r="269" ht="15.75" hidden="1" customHeight="1" outlineLevel="1">
      <c r="A269" s="11"/>
      <c r="B269" s="123" t="s">
        <v>152</v>
      </c>
      <c r="C269" s="125" t="e">
        <f t="shared" si="189"/>
        <v>#NUM!</v>
      </c>
      <c r="D269" s="125">
        <f t="shared" si="190"/>
        <v>3.5</v>
      </c>
      <c r="E269" s="117" t="e">
        <f t="shared" si="168"/>
        <v>#NUM!</v>
      </c>
      <c r="F269" s="125" t="e">
        <f t="shared" si="191"/>
        <v>#NUM!</v>
      </c>
      <c r="G269" s="125">
        <f t="shared" si="192"/>
        <v>0</v>
      </c>
      <c r="H269" s="117" t="e">
        <f t="shared" si="171"/>
        <v>#NUM!</v>
      </c>
      <c r="I269" s="125" t="e">
        <f t="shared" si="193"/>
        <v>#NUM!</v>
      </c>
      <c r="J269" s="125">
        <f t="shared" si="193"/>
        <v>3.5</v>
      </c>
      <c r="K269" s="117" t="e">
        <f t="shared" si="169"/>
        <v>#NUM!</v>
      </c>
      <c r="L269" s="139" t="e">
        <f t="shared" si="194"/>
        <v>#NUM!</v>
      </c>
      <c r="M269" s="127">
        <f t="shared" si="195"/>
        <v>1</v>
      </c>
      <c r="N269" s="120" t="e">
        <f t="shared" si="163"/>
        <v>#NUM!</v>
      </c>
      <c r="O269" s="127" t="e">
        <f t="shared" si="196"/>
        <v>#NUM!</v>
      </c>
      <c r="P269" s="127">
        <f t="shared" si="197"/>
        <v>0</v>
      </c>
      <c r="Q269" s="120" t="e">
        <f t="shared" si="170"/>
        <v>#NUM!</v>
      </c>
    </row>
    <row r="270" ht="15.75" hidden="1" customHeight="1" outlineLevel="1">
      <c r="A270" s="11"/>
      <c r="B270" s="123" t="s">
        <v>153</v>
      </c>
      <c r="C270" s="125" t="e">
        <f t="shared" si="189"/>
        <v>#NUM!</v>
      </c>
      <c r="D270" s="125">
        <f t="shared" si="190"/>
        <v>13</v>
      </c>
      <c r="E270" s="117" t="e">
        <f t="shared" si="168"/>
        <v>#NUM!</v>
      </c>
      <c r="F270" s="125" t="e">
        <f t="shared" si="191"/>
        <v>#NUM!</v>
      </c>
      <c r="G270" s="125">
        <f t="shared" si="192"/>
        <v>0</v>
      </c>
      <c r="H270" s="117" t="e">
        <f t="shared" si="171"/>
        <v>#NUM!</v>
      </c>
      <c r="I270" s="125" t="e">
        <f t="shared" si="193"/>
        <v>#NUM!</v>
      </c>
      <c r="J270" s="125">
        <f t="shared" si="193"/>
        <v>13</v>
      </c>
      <c r="K270" s="117" t="e">
        <f t="shared" si="169"/>
        <v>#NUM!</v>
      </c>
      <c r="L270" s="139" t="e">
        <f t="shared" si="194"/>
        <v>#NUM!</v>
      </c>
      <c r="M270" s="127">
        <f t="shared" si="195"/>
        <v>1</v>
      </c>
      <c r="N270" s="120" t="e">
        <f t="shared" si="163"/>
        <v>#NUM!</v>
      </c>
      <c r="O270" s="127" t="e">
        <f t="shared" si="196"/>
        <v>#NUM!</v>
      </c>
      <c r="P270" s="127">
        <f t="shared" si="197"/>
        <v>0</v>
      </c>
      <c r="Q270" s="120" t="e">
        <f t="shared" si="170"/>
        <v>#NUM!</v>
      </c>
    </row>
    <row r="271" ht="15.75" hidden="1" customHeight="1" outlineLevel="1">
      <c r="A271" s="11"/>
      <c r="B271" s="123" t="s">
        <v>154</v>
      </c>
      <c r="C271" s="125" t="e">
        <f t="shared" si="189"/>
        <v>#NUM!</v>
      </c>
      <c r="D271" s="125">
        <f t="shared" si="190"/>
        <v>8</v>
      </c>
      <c r="E271" s="117" t="e">
        <f t="shared" si="168"/>
        <v>#NUM!</v>
      </c>
      <c r="F271" s="125" t="e">
        <f t="shared" si="191"/>
        <v>#NUM!</v>
      </c>
      <c r="G271" s="125">
        <f t="shared" si="192"/>
        <v>0</v>
      </c>
      <c r="H271" s="117" t="e">
        <f t="shared" si="171"/>
        <v>#NUM!</v>
      </c>
      <c r="I271" s="125" t="e">
        <f t="shared" si="193"/>
        <v>#NUM!</v>
      </c>
      <c r="J271" s="125">
        <f t="shared" si="193"/>
        <v>8</v>
      </c>
      <c r="K271" s="117" t="e">
        <f t="shared" si="169"/>
        <v>#NUM!</v>
      </c>
      <c r="L271" s="139" t="e">
        <f t="shared" si="194"/>
        <v>#NUM!</v>
      </c>
      <c r="M271" s="127">
        <f t="shared" si="195"/>
        <v>1</v>
      </c>
      <c r="N271" s="120" t="e">
        <f t="shared" si="163"/>
        <v>#NUM!</v>
      </c>
      <c r="O271" s="127" t="e">
        <f t="shared" si="196"/>
        <v>#NUM!</v>
      </c>
      <c r="P271" s="127">
        <f t="shared" si="197"/>
        <v>0</v>
      </c>
      <c r="Q271" s="120" t="e">
        <f t="shared" si="170"/>
        <v>#NUM!</v>
      </c>
    </row>
    <row r="272" ht="15.75" hidden="1" customHeight="1" outlineLevel="1">
      <c r="A272" s="11"/>
      <c r="B272" s="123" t="s">
        <v>155</v>
      </c>
      <c r="C272" s="125" t="e">
        <f t="shared" si="189"/>
        <v>#NUM!</v>
      </c>
      <c r="D272" s="125">
        <f t="shared" si="190"/>
        <v>9</v>
      </c>
      <c r="E272" s="117" t="e">
        <f t="shared" si="168"/>
        <v>#NUM!</v>
      </c>
      <c r="F272" s="125" t="e">
        <f t="shared" si="191"/>
        <v>#NUM!</v>
      </c>
      <c r="G272" s="125">
        <f t="shared" si="192"/>
        <v>0</v>
      </c>
      <c r="H272" s="117" t="e">
        <f t="shared" si="171"/>
        <v>#NUM!</v>
      </c>
      <c r="I272" s="125" t="e">
        <f t="shared" si="193"/>
        <v>#NUM!</v>
      </c>
      <c r="J272" s="125">
        <f t="shared" si="193"/>
        <v>9</v>
      </c>
      <c r="K272" s="117" t="e">
        <f t="shared" si="169"/>
        <v>#NUM!</v>
      </c>
      <c r="L272" s="139" t="e">
        <f t="shared" si="194"/>
        <v>#NUM!</v>
      </c>
      <c r="M272" s="127">
        <f t="shared" si="195"/>
        <v>0</v>
      </c>
      <c r="N272" s="120" t="e">
        <f t="shared" si="163"/>
        <v>#NUM!</v>
      </c>
      <c r="O272" s="127" t="e">
        <f t="shared" si="196"/>
        <v>#NUM!</v>
      </c>
      <c r="P272" s="127">
        <f t="shared" si="197"/>
        <v>0</v>
      </c>
      <c r="Q272" s="120" t="e">
        <f t="shared" si="170"/>
        <v>#NUM!</v>
      </c>
    </row>
    <row r="273" ht="15.75" hidden="1" customHeight="1" outlineLevel="1">
      <c r="A273" s="11"/>
      <c r="B273" s="123" t="s">
        <v>156</v>
      </c>
      <c r="C273" s="125" t="e">
        <f t="shared" si="189"/>
        <v>#NUM!</v>
      </c>
      <c r="D273" s="125">
        <f t="shared" si="190"/>
        <v>3.2999999999999998</v>
      </c>
      <c r="E273" s="117" t="e">
        <f t="shared" si="168"/>
        <v>#NUM!</v>
      </c>
      <c r="F273" s="125" t="e">
        <f t="shared" si="191"/>
        <v>#NUM!</v>
      </c>
      <c r="G273" s="125">
        <f t="shared" si="192"/>
        <v>0</v>
      </c>
      <c r="H273" s="117" t="e">
        <f t="shared" si="171"/>
        <v>#NUM!</v>
      </c>
      <c r="I273" s="125" t="e">
        <f t="shared" si="193"/>
        <v>#NUM!</v>
      </c>
      <c r="J273" s="125">
        <f t="shared" si="193"/>
        <v>3.2999999999999998</v>
      </c>
      <c r="K273" s="117" t="e">
        <f t="shared" si="169"/>
        <v>#NUM!</v>
      </c>
      <c r="L273" s="139" t="e">
        <f t="shared" si="194"/>
        <v>#NUM!</v>
      </c>
      <c r="M273" s="127">
        <f t="shared" si="195"/>
        <v>1</v>
      </c>
      <c r="N273" s="120" t="e">
        <f t="shared" si="163"/>
        <v>#NUM!</v>
      </c>
      <c r="O273" s="127" t="e">
        <f t="shared" si="196"/>
        <v>#NUM!</v>
      </c>
      <c r="P273" s="127">
        <f t="shared" si="197"/>
        <v>0</v>
      </c>
      <c r="Q273" s="120" t="e">
        <f t="shared" si="170"/>
        <v>#NUM!</v>
      </c>
    </row>
    <row r="274" ht="15.75" customHeight="1">
      <c r="C274" s="96"/>
      <c r="D274" s="96"/>
      <c r="E274" s="140"/>
      <c r="F274" s="96"/>
      <c r="G274" s="96"/>
      <c r="H274" s="140"/>
      <c r="I274" s="1"/>
      <c r="J274" s="1"/>
      <c r="K274" s="1"/>
      <c r="L274" s="1"/>
      <c r="M274" s="1"/>
      <c r="N274" s="141"/>
      <c r="O274" s="1"/>
      <c r="P274" s="1"/>
      <c r="Q274" s="141"/>
    </row>
    <row r="275" ht="15.75" customHeight="1">
      <c r="A275" s="1" t="s">
        <v>192</v>
      </c>
      <c r="C275" s="96">
        <v>757.89999999999998</v>
      </c>
      <c r="D275" s="96">
        <v>377.5</v>
      </c>
      <c r="E275" s="140">
        <v>0.49809999999999999</v>
      </c>
      <c r="F275" s="96"/>
      <c r="G275" s="96"/>
      <c r="H275" s="1"/>
      <c r="I275" s="1"/>
      <c r="J275" s="1"/>
      <c r="K275" s="1"/>
      <c r="L275" s="1"/>
      <c r="M275" s="1"/>
      <c r="N275" s="141"/>
      <c r="O275" s="1"/>
      <c r="P275" s="1"/>
      <c r="Q275" s="141"/>
      <c r="S275" s="77" t="s">
        <v>193</v>
      </c>
    </row>
    <row r="276" ht="15.75" customHeight="1">
      <c r="C276" s="96"/>
      <c r="D276" s="96"/>
      <c r="E276" s="140"/>
      <c r="F276" s="96"/>
      <c r="G276" s="96"/>
      <c r="H276" s="1"/>
      <c r="I276" s="1"/>
      <c r="J276" s="1"/>
      <c r="K276" s="1"/>
      <c r="L276" s="1"/>
      <c r="M276" s="1"/>
      <c r="N276" s="141"/>
      <c r="O276" s="1"/>
      <c r="P276" s="1"/>
      <c r="Q276" s="141"/>
      <c r="S276" s="142" t="s">
        <v>194</v>
      </c>
      <c r="T276" s="143" t="s">
        <v>195</v>
      </c>
      <c r="U276" s="143" t="s">
        <v>151</v>
      </c>
      <c r="V276" s="143" t="s">
        <v>154</v>
      </c>
      <c r="W276" s="143" t="s">
        <v>152</v>
      </c>
      <c r="X276" s="143" t="s">
        <v>153</v>
      </c>
      <c r="Y276" s="143" t="s">
        <v>156</v>
      </c>
      <c r="Z276" s="143" t="s">
        <v>155</v>
      </c>
      <c r="AA276" s="11"/>
    </row>
    <row r="277" ht="15.75" customHeight="1">
      <c r="C277" s="96"/>
      <c r="D277" s="96"/>
      <c r="E277" s="140"/>
      <c r="F277" s="96"/>
      <c r="G277" s="96"/>
      <c r="H277" s="1"/>
      <c r="I277" s="1"/>
      <c r="J277" s="1"/>
      <c r="K277" s="1"/>
      <c r="L277" s="1"/>
      <c r="M277" s="1"/>
      <c r="N277" s="141"/>
      <c r="O277" s="1"/>
      <c r="P277" s="1"/>
      <c r="Q277" s="141"/>
      <c r="S277" s="144" t="s">
        <v>196</v>
      </c>
      <c r="T277" s="145">
        <f>2/4</f>
        <v>0.5</v>
      </c>
      <c r="U277" s="145">
        <f>2/13</f>
        <v>0.15384615384615385</v>
      </c>
      <c r="V277" s="145">
        <v>0.20000000000000001</v>
      </c>
      <c r="W277" s="145">
        <v>0.20000000000000001</v>
      </c>
      <c r="X277" s="145">
        <v>0.69999999999999996</v>
      </c>
      <c r="Y277" s="145">
        <v>0.40000000000000002</v>
      </c>
      <c r="Z277" s="145">
        <v>0.5</v>
      </c>
      <c r="AA277" s="11"/>
    </row>
    <row r="278" ht="15.75" customHeight="1">
      <c r="C278" s="96"/>
      <c r="D278" s="96"/>
      <c r="E278" s="140"/>
      <c r="F278" s="96"/>
      <c r="G278" s="96"/>
      <c r="H278" s="1"/>
      <c r="I278" s="1"/>
      <c r="J278" s="1"/>
      <c r="K278" s="1"/>
      <c r="L278" s="1"/>
      <c r="M278" s="1"/>
      <c r="N278" s="141"/>
      <c r="O278" s="1"/>
      <c r="P278" s="1"/>
      <c r="Q278" s="141"/>
      <c r="S278" s="144" t="s">
        <v>197</v>
      </c>
      <c r="T278" s="145"/>
      <c r="U278" s="145">
        <f>4/13</f>
        <v>0.30769230769230771</v>
      </c>
      <c r="V278" s="145"/>
      <c r="W278" s="145"/>
      <c r="X278" s="145">
        <v>0.14999999999999999</v>
      </c>
      <c r="Y278" s="145"/>
      <c r="Z278" s="145"/>
      <c r="AA278" s="11"/>
    </row>
    <row r="279" ht="15.75" customHeight="1">
      <c r="C279" s="96"/>
      <c r="D279" s="96"/>
      <c r="E279" s="140"/>
      <c r="F279" s="96"/>
      <c r="G279" s="96"/>
      <c r="H279" s="1"/>
      <c r="I279" s="1"/>
      <c r="J279" s="1"/>
      <c r="K279" s="1"/>
      <c r="L279" s="1"/>
      <c r="M279" s="1"/>
      <c r="N279" s="141"/>
      <c r="O279" s="1"/>
      <c r="P279" s="1"/>
      <c r="Q279" s="141"/>
      <c r="S279" s="144" t="s">
        <v>198</v>
      </c>
      <c r="T279" s="145"/>
      <c r="U279" s="145">
        <f t="shared" ref="U279:U280" si="198">2/13</f>
        <v>0.15384615384615385</v>
      </c>
      <c r="V279" s="145"/>
      <c r="W279" s="145"/>
      <c r="X279" s="145">
        <v>0.14999999999999999</v>
      </c>
      <c r="Y279" s="145"/>
      <c r="Z279" s="145"/>
      <c r="AA279" s="11"/>
    </row>
    <row r="280" ht="15.75" customHeight="1">
      <c r="C280" s="96"/>
      <c r="D280" s="96"/>
      <c r="E280" s="140"/>
      <c r="F280" s="96"/>
      <c r="G280" s="96"/>
      <c r="H280" s="1"/>
      <c r="I280" s="1"/>
      <c r="J280" s="1"/>
      <c r="K280" s="1"/>
      <c r="L280" s="1"/>
      <c r="M280" s="1"/>
      <c r="N280" s="141"/>
      <c r="O280" s="1"/>
      <c r="P280" s="1"/>
      <c r="Q280" s="141"/>
      <c r="S280" s="144" t="s">
        <v>199</v>
      </c>
      <c r="T280" s="145"/>
      <c r="U280" s="145">
        <f t="shared" si="198"/>
        <v>0.15384615384615385</v>
      </c>
      <c r="V280" s="145">
        <v>0.1333</v>
      </c>
      <c r="W280" s="145">
        <v>0.20000000000000001</v>
      </c>
      <c r="X280" s="145">
        <v>0</v>
      </c>
      <c r="Y280" s="145"/>
      <c r="Z280" s="145">
        <v>0.25</v>
      </c>
      <c r="AA280" s="11"/>
    </row>
    <row r="281" ht="15.75" customHeight="1">
      <c r="C281" s="96"/>
      <c r="D281" s="96"/>
      <c r="E281" s="140"/>
      <c r="F281" s="96"/>
      <c r="G281" s="96"/>
      <c r="H281" s="1"/>
      <c r="I281" s="1"/>
      <c r="J281" s="1"/>
      <c r="K281" s="1"/>
      <c r="L281" s="1"/>
      <c r="M281" s="1"/>
      <c r="N281" s="141"/>
      <c r="O281" s="1"/>
      <c r="P281" s="1"/>
      <c r="Q281" s="141"/>
      <c r="S281" s="144" t="s">
        <v>200</v>
      </c>
      <c r="T281" s="145">
        <f>1/4</f>
        <v>0.25</v>
      </c>
      <c r="U281" s="145">
        <f>3/13</f>
        <v>0.23076923076923078</v>
      </c>
      <c r="V281" s="145"/>
      <c r="W281" s="145"/>
      <c r="X281" s="145"/>
      <c r="Y281" s="145"/>
      <c r="Z281" s="145"/>
      <c r="AA281" s="11"/>
    </row>
    <row r="282" ht="15.75" customHeight="1">
      <c r="C282" s="96"/>
      <c r="D282" s="96"/>
      <c r="E282" s="140"/>
      <c r="F282" s="96"/>
      <c r="G282" s="96"/>
      <c r="H282" s="1"/>
      <c r="I282" s="1"/>
      <c r="J282" s="1"/>
      <c r="K282" s="1"/>
      <c r="L282" s="1"/>
      <c r="M282" s="1"/>
      <c r="N282" s="141"/>
      <c r="O282" s="1"/>
      <c r="P282" s="1"/>
      <c r="Q282" s="141"/>
      <c r="S282" s="144" t="s">
        <v>201</v>
      </c>
      <c r="T282" s="145"/>
      <c r="U282" s="145"/>
      <c r="V282" s="145">
        <v>0.33329999999999999</v>
      </c>
      <c r="W282" s="145">
        <v>0.20000000000000001</v>
      </c>
      <c r="X282" s="145"/>
      <c r="Y282" s="145">
        <v>0.40000000000000002</v>
      </c>
      <c r="Z282" s="145">
        <v>0.25</v>
      </c>
      <c r="AA282" s="11"/>
    </row>
    <row r="283" ht="15.75" customHeight="1">
      <c r="C283" s="96"/>
      <c r="D283" s="96"/>
      <c r="E283" s="140"/>
      <c r="F283" s="96"/>
      <c r="G283" s="96"/>
      <c r="H283" s="1"/>
      <c r="I283" s="1"/>
      <c r="J283" s="1"/>
      <c r="K283" s="1"/>
      <c r="L283" s="1"/>
      <c r="M283" s="1"/>
      <c r="N283" s="141"/>
      <c r="O283" s="1"/>
      <c r="P283" s="1"/>
      <c r="Q283" s="141"/>
      <c r="S283" s="144" t="s">
        <v>202</v>
      </c>
      <c r="T283" s="145"/>
      <c r="U283" s="145"/>
      <c r="V283" s="145">
        <v>0.20000000000000001</v>
      </c>
      <c r="W283" s="145"/>
      <c r="X283" s="145"/>
      <c r="Y283" s="145">
        <v>0.20000000000000001</v>
      </c>
      <c r="Z283" s="145"/>
      <c r="AA283" s="11"/>
    </row>
    <row r="284" ht="15.75" customHeight="1">
      <c r="C284" s="96"/>
      <c r="D284" s="96"/>
      <c r="E284" s="140"/>
      <c r="F284" s="96"/>
      <c r="G284" s="96"/>
      <c r="H284" s="1"/>
      <c r="I284" s="1"/>
      <c r="J284" s="1"/>
      <c r="K284" s="1"/>
      <c r="L284" s="1"/>
      <c r="M284" s="1"/>
      <c r="N284" s="141"/>
      <c r="O284" s="1"/>
      <c r="P284" s="1"/>
      <c r="Q284" s="141"/>
      <c r="S284" s="144" t="s">
        <v>203</v>
      </c>
      <c r="T284" s="145">
        <f>1/4</f>
        <v>0.25</v>
      </c>
      <c r="U284" s="145"/>
      <c r="V284" s="145">
        <v>0.1333</v>
      </c>
      <c r="W284" s="145">
        <v>0.40000000000000002</v>
      </c>
      <c r="X284" s="145"/>
      <c r="Y284" s="145"/>
      <c r="Z284" s="145"/>
      <c r="AA284" s="11"/>
    </row>
    <row r="285" ht="15.75" customHeight="1">
      <c r="C285" s="96"/>
      <c r="D285" s="96"/>
      <c r="E285" s="140"/>
      <c r="F285" s="96"/>
      <c r="G285" s="96"/>
      <c r="H285" s="1"/>
      <c r="I285" s="1"/>
      <c r="J285" s="1"/>
      <c r="K285" s="1"/>
      <c r="L285" s="1"/>
      <c r="M285" s="1"/>
      <c r="N285" s="141"/>
      <c r="O285" s="1"/>
      <c r="P285" s="1"/>
      <c r="Q285" s="141"/>
      <c r="S285" s="11"/>
      <c r="T285" s="145"/>
      <c r="U285" s="145"/>
      <c r="V285" s="145"/>
      <c r="W285" s="145"/>
      <c r="X285" s="145"/>
      <c r="Y285" s="145"/>
      <c r="Z285" s="145"/>
      <c r="AA285" s="11"/>
    </row>
    <row r="286" ht="15.75" customHeight="1">
      <c r="C286" s="96"/>
      <c r="D286" s="96"/>
      <c r="E286" s="140"/>
      <c r="F286" s="96"/>
      <c r="G286" s="96"/>
      <c r="H286" s="1"/>
      <c r="I286" s="1"/>
      <c r="J286" s="1"/>
      <c r="K286" s="1"/>
      <c r="L286" s="1"/>
      <c r="M286" s="1"/>
      <c r="N286" s="141"/>
      <c r="O286" s="1"/>
      <c r="P286" s="1"/>
      <c r="Q286" s="141"/>
      <c r="T286" s="1" t="s">
        <v>204</v>
      </c>
      <c r="U286" s="1" t="s">
        <v>205</v>
      </c>
      <c r="V286" s="1" t="s">
        <v>206</v>
      </c>
      <c r="W286" s="1" t="s">
        <v>207</v>
      </c>
      <c r="Y286" s="1" t="s">
        <v>207</v>
      </c>
      <c r="Z286" s="1" t="s">
        <v>208</v>
      </c>
    </row>
    <row r="287" ht="15.75" customHeight="1">
      <c r="C287" s="96"/>
      <c r="D287" s="96"/>
      <c r="E287" s="140"/>
      <c r="F287" s="96"/>
      <c r="G287" s="96"/>
      <c r="H287" s="1"/>
      <c r="I287" s="1"/>
      <c r="J287" s="1"/>
      <c r="K287" s="1"/>
      <c r="L287" s="1"/>
      <c r="M287" s="1"/>
      <c r="N287" s="141"/>
      <c r="O287" s="1"/>
      <c r="P287" s="1"/>
      <c r="Q287" s="141"/>
    </row>
    <row r="288" ht="15.75" customHeight="1">
      <c r="C288" s="96"/>
      <c r="D288" s="96"/>
      <c r="E288" s="140"/>
      <c r="F288" s="96"/>
      <c r="G288" s="96"/>
      <c r="H288" s="1"/>
      <c r="I288" s="1"/>
      <c r="J288" s="1"/>
      <c r="K288" s="1"/>
      <c r="L288" s="1"/>
      <c r="M288" s="1"/>
      <c r="N288" s="141"/>
      <c r="O288" s="1"/>
      <c r="P288" s="1"/>
      <c r="Q288" s="141"/>
    </row>
    <row r="289" ht="15.75" customHeight="1">
      <c r="C289" s="96"/>
      <c r="D289" s="96"/>
      <c r="E289" s="140"/>
      <c r="F289" s="96"/>
      <c r="G289" s="96"/>
      <c r="H289" s="1"/>
      <c r="I289" s="1"/>
      <c r="J289" s="1"/>
      <c r="K289" s="1"/>
      <c r="L289" s="1"/>
      <c r="M289" s="1"/>
      <c r="N289" s="141"/>
      <c r="O289" s="1"/>
      <c r="P289" s="1"/>
      <c r="Q289" s="141"/>
    </row>
    <row r="290" ht="15.75" customHeight="1">
      <c r="C290" s="96"/>
      <c r="D290" s="96"/>
      <c r="E290" s="140"/>
      <c r="F290" s="96"/>
      <c r="G290" s="96"/>
      <c r="H290" s="1"/>
      <c r="I290" s="1"/>
      <c r="J290" s="1"/>
      <c r="K290" s="1"/>
      <c r="L290" s="1"/>
      <c r="M290" s="1"/>
      <c r="N290" s="141"/>
      <c r="O290" s="1"/>
      <c r="P290" s="1"/>
      <c r="Q290" s="141"/>
    </row>
    <row r="291" ht="15.75" customHeight="1">
      <c r="C291" s="96"/>
      <c r="D291" s="96"/>
      <c r="E291" s="140"/>
      <c r="F291" s="96"/>
      <c r="G291" s="96"/>
      <c r="H291" s="1"/>
      <c r="I291" s="1"/>
      <c r="J291" s="1"/>
      <c r="K291" s="1"/>
      <c r="L291" s="1"/>
      <c r="M291" s="1"/>
      <c r="N291" s="141"/>
      <c r="O291" s="1"/>
      <c r="P291" s="1"/>
      <c r="Q291" s="141"/>
    </row>
    <row r="292" ht="15.75" customHeight="1">
      <c r="C292" s="96"/>
      <c r="D292" s="96"/>
      <c r="E292" s="140"/>
      <c r="F292" s="96"/>
      <c r="G292" s="96"/>
      <c r="H292" s="1"/>
      <c r="I292" s="1"/>
      <c r="J292" s="1"/>
      <c r="K292" s="1"/>
      <c r="L292" s="1"/>
      <c r="M292" s="1"/>
      <c r="N292" s="141"/>
      <c r="O292" s="1"/>
      <c r="P292" s="1"/>
      <c r="Q292" s="141"/>
    </row>
    <row r="293" ht="15.75" customHeight="1">
      <c r="C293" s="96"/>
      <c r="D293" s="96"/>
      <c r="E293" s="140"/>
      <c r="F293" s="96"/>
      <c r="G293" s="96"/>
      <c r="H293" s="1"/>
      <c r="I293" s="1"/>
      <c r="J293" s="1"/>
      <c r="K293" s="1"/>
      <c r="L293" s="1"/>
      <c r="M293" s="1"/>
      <c r="N293" s="141"/>
      <c r="O293" s="1"/>
      <c r="P293" s="1"/>
      <c r="Q293" s="141"/>
    </row>
    <row r="294" ht="15.75" customHeight="1">
      <c r="C294" s="96"/>
      <c r="D294" s="96"/>
      <c r="E294" s="140"/>
      <c r="F294" s="96"/>
      <c r="G294" s="96"/>
      <c r="H294" s="1"/>
      <c r="I294" s="1"/>
      <c r="J294" s="1"/>
      <c r="K294" s="1"/>
      <c r="L294" s="1"/>
      <c r="M294" s="1"/>
      <c r="N294" s="141"/>
      <c r="O294" s="1"/>
      <c r="P294" s="1"/>
      <c r="Q294" s="141"/>
    </row>
    <row r="295" ht="15.75" customHeight="1">
      <c r="C295" s="96"/>
      <c r="D295" s="96"/>
      <c r="E295" s="140"/>
      <c r="F295" s="96"/>
      <c r="G295" s="96"/>
      <c r="H295" s="1"/>
      <c r="I295" s="1"/>
      <c r="J295" s="1"/>
      <c r="K295" s="1"/>
      <c r="L295" s="1"/>
      <c r="M295" s="1"/>
      <c r="N295" s="141"/>
      <c r="O295" s="1"/>
      <c r="P295" s="1"/>
      <c r="Q295" s="141"/>
    </row>
    <row r="296" ht="15.75" customHeight="1">
      <c r="C296" s="96"/>
      <c r="D296" s="96"/>
      <c r="E296" s="140"/>
      <c r="F296" s="96"/>
      <c r="G296" s="96"/>
      <c r="H296" s="1"/>
      <c r="I296" s="1"/>
      <c r="J296" s="1"/>
      <c r="K296" s="1"/>
      <c r="L296" s="1"/>
      <c r="M296" s="1"/>
      <c r="N296" s="141"/>
      <c r="O296" s="1"/>
      <c r="P296" s="1"/>
      <c r="Q296" s="141"/>
    </row>
    <row r="297" ht="15.75" customHeight="1">
      <c r="C297" s="96"/>
      <c r="D297" s="96"/>
      <c r="E297" s="140"/>
      <c r="F297" s="96"/>
      <c r="G297" s="96"/>
      <c r="H297" s="1"/>
      <c r="I297" s="1"/>
      <c r="J297" s="1"/>
      <c r="K297" s="1"/>
      <c r="L297" s="1"/>
      <c r="M297" s="1"/>
      <c r="N297" s="141"/>
      <c r="O297" s="1"/>
      <c r="P297" s="1"/>
      <c r="Q297" s="141"/>
    </row>
    <row r="298" ht="15.75" customHeight="1">
      <c r="C298" s="96"/>
      <c r="D298" s="96"/>
      <c r="E298" s="140"/>
      <c r="F298" s="96"/>
      <c r="G298" s="96"/>
      <c r="H298" s="1"/>
      <c r="I298" s="1"/>
      <c r="J298" s="1"/>
      <c r="K298" s="1"/>
      <c r="L298" s="1"/>
      <c r="M298" s="1"/>
      <c r="N298" s="141"/>
      <c r="O298" s="1"/>
      <c r="P298" s="1"/>
      <c r="Q298" s="141"/>
    </row>
    <row r="299" ht="15.75" customHeight="1">
      <c r="C299" s="96"/>
      <c r="D299" s="96"/>
      <c r="E299" s="140"/>
      <c r="F299" s="96"/>
      <c r="G299" s="96"/>
      <c r="H299" s="1"/>
      <c r="I299" s="1"/>
      <c r="J299" s="1"/>
      <c r="K299" s="1"/>
      <c r="L299" s="1"/>
      <c r="M299" s="1"/>
      <c r="N299" s="141"/>
      <c r="O299" s="1"/>
      <c r="P299" s="1"/>
      <c r="Q299" s="141"/>
    </row>
    <row r="300" ht="15.75" customHeight="1">
      <c r="C300" s="96"/>
      <c r="D300" s="96"/>
      <c r="E300" s="140"/>
      <c r="F300" s="96"/>
      <c r="G300" s="96"/>
      <c r="H300" s="1"/>
      <c r="I300" s="1"/>
      <c r="J300" s="1"/>
      <c r="K300" s="1"/>
      <c r="L300" s="1"/>
      <c r="M300" s="1"/>
      <c r="N300" s="141"/>
      <c r="O300" s="1"/>
      <c r="P300" s="1"/>
      <c r="Q300" s="141"/>
    </row>
    <row r="301" ht="15.75" customHeight="1">
      <c r="C301" s="96"/>
      <c r="D301" s="96"/>
      <c r="E301" s="140"/>
      <c r="F301" s="96"/>
      <c r="G301" s="96"/>
      <c r="H301" s="1"/>
      <c r="I301" s="1"/>
      <c r="J301" s="1"/>
      <c r="K301" s="1"/>
      <c r="L301" s="1"/>
      <c r="M301" s="1"/>
      <c r="N301" s="141"/>
      <c r="O301" s="1"/>
      <c r="P301" s="1"/>
      <c r="Q301" s="141"/>
    </row>
    <row r="302" ht="15.75" customHeight="1">
      <c r="C302" s="96"/>
      <c r="D302" s="96"/>
      <c r="E302" s="140"/>
      <c r="F302" s="96"/>
      <c r="G302" s="96"/>
      <c r="H302" s="1"/>
      <c r="I302" s="1"/>
      <c r="J302" s="1"/>
      <c r="K302" s="1"/>
      <c r="L302" s="1"/>
      <c r="M302" s="1"/>
      <c r="N302" s="141"/>
      <c r="O302" s="1"/>
      <c r="P302" s="1"/>
      <c r="Q302" s="141"/>
    </row>
    <row r="303" ht="15.75" customHeight="1">
      <c r="C303" s="96"/>
      <c r="D303" s="96"/>
      <c r="E303" s="140"/>
      <c r="F303" s="96"/>
      <c r="G303" s="96"/>
      <c r="H303" s="1"/>
      <c r="I303" s="1"/>
      <c r="J303" s="1"/>
      <c r="K303" s="1"/>
      <c r="L303" s="1"/>
      <c r="M303" s="1"/>
      <c r="N303" s="141"/>
      <c r="O303" s="1"/>
      <c r="P303" s="1"/>
      <c r="Q303" s="141"/>
    </row>
    <row r="304" ht="15.75" customHeight="1">
      <c r="C304" s="96"/>
      <c r="D304" s="96"/>
      <c r="E304" s="140"/>
      <c r="F304" s="96"/>
      <c r="G304" s="96"/>
      <c r="H304" s="1"/>
      <c r="I304" s="1"/>
      <c r="J304" s="1"/>
      <c r="K304" s="1"/>
      <c r="L304" s="1"/>
      <c r="M304" s="1"/>
      <c r="N304" s="141"/>
      <c r="O304" s="1"/>
      <c r="P304" s="1"/>
      <c r="Q304" s="141"/>
    </row>
    <row r="305" ht="15.75" customHeight="1">
      <c r="C305" s="96"/>
      <c r="D305" s="96"/>
      <c r="E305" s="140"/>
      <c r="F305" s="96"/>
      <c r="G305" s="96"/>
      <c r="H305" s="1"/>
      <c r="I305" s="1"/>
      <c r="J305" s="1"/>
      <c r="K305" s="1"/>
      <c r="L305" s="1"/>
      <c r="M305" s="1"/>
      <c r="N305" s="141"/>
      <c r="O305" s="1"/>
      <c r="P305" s="1"/>
      <c r="Q305" s="141"/>
    </row>
    <row r="306" ht="15.75" customHeight="1">
      <c r="C306" s="96"/>
      <c r="D306" s="96"/>
      <c r="E306" s="140"/>
      <c r="F306" s="96"/>
      <c r="G306" s="96"/>
      <c r="H306" s="1"/>
      <c r="I306" s="1"/>
      <c r="J306" s="1"/>
      <c r="K306" s="1"/>
      <c r="L306" s="1"/>
      <c r="M306" s="1"/>
      <c r="N306" s="141"/>
      <c r="O306" s="1"/>
      <c r="P306" s="1"/>
      <c r="Q306" s="141"/>
    </row>
    <row r="307" ht="15.75" customHeight="1">
      <c r="C307" s="96"/>
      <c r="D307" s="96"/>
      <c r="E307" s="140"/>
      <c r="F307" s="96"/>
      <c r="G307" s="96"/>
      <c r="H307" s="1"/>
      <c r="I307" s="1"/>
      <c r="J307" s="1"/>
      <c r="K307" s="1"/>
      <c r="L307" s="1"/>
      <c r="M307" s="1"/>
      <c r="N307" s="141"/>
      <c r="O307" s="1"/>
      <c r="P307" s="1"/>
      <c r="Q307" s="141"/>
    </row>
    <row r="308" ht="15.75" customHeight="1">
      <c r="C308" s="96"/>
      <c r="D308" s="96"/>
      <c r="E308" s="140"/>
      <c r="F308" s="96"/>
      <c r="G308" s="96"/>
      <c r="H308" s="1"/>
      <c r="I308" s="1"/>
      <c r="J308" s="1"/>
      <c r="K308" s="1"/>
      <c r="L308" s="1"/>
      <c r="M308" s="1"/>
      <c r="N308" s="141"/>
      <c r="O308" s="1"/>
      <c r="P308" s="1"/>
      <c r="Q308" s="141"/>
    </row>
    <row r="309" ht="15.75" customHeight="1">
      <c r="C309" s="96"/>
      <c r="D309" s="96"/>
      <c r="E309" s="140"/>
      <c r="F309" s="96"/>
      <c r="G309" s="96"/>
      <c r="H309" s="1"/>
      <c r="I309" s="1"/>
      <c r="J309" s="1"/>
      <c r="K309" s="1"/>
      <c r="L309" s="1"/>
      <c r="M309" s="1"/>
      <c r="N309" s="141"/>
      <c r="O309" s="1"/>
      <c r="P309" s="1"/>
      <c r="Q309" s="141"/>
    </row>
    <row r="310" ht="15.75" customHeight="1">
      <c r="C310" s="96"/>
      <c r="D310" s="96"/>
      <c r="E310" s="140"/>
      <c r="F310" s="96"/>
      <c r="G310" s="96"/>
      <c r="H310" s="1"/>
      <c r="I310" s="1"/>
      <c r="J310" s="1"/>
      <c r="K310" s="1"/>
      <c r="L310" s="1"/>
      <c r="M310" s="1"/>
      <c r="N310" s="141"/>
      <c r="O310" s="1"/>
      <c r="P310" s="1"/>
      <c r="Q310" s="141"/>
    </row>
    <row r="311" ht="15.75" customHeight="1">
      <c r="C311" s="96"/>
      <c r="D311" s="96"/>
      <c r="E311" s="140"/>
      <c r="F311" s="96"/>
      <c r="G311" s="96"/>
      <c r="H311" s="1"/>
      <c r="I311" s="1"/>
      <c r="J311" s="1"/>
      <c r="K311" s="1"/>
      <c r="L311" s="1"/>
      <c r="M311" s="1"/>
      <c r="N311" s="141"/>
      <c r="O311" s="1"/>
      <c r="P311" s="1"/>
      <c r="Q311" s="141"/>
    </row>
    <row r="312" ht="15.75" customHeight="1">
      <c r="C312" s="96"/>
      <c r="D312" s="96"/>
      <c r="E312" s="140"/>
      <c r="F312" s="96"/>
      <c r="G312" s="96"/>
      <c r="H312" s="1"/>
      <c r="I312" s="1"/>
      <c r="J312" s="1"/>
      <c r="K312" s="1"/>
      <c r="L312" s="1"/>
      <c r="M312" s="1"/>
      <c r="N312" s="141"/>
      <c r="O312" s="1"/>
      <c r="P312" s="1"/>
      <c r="Q312" s="141"/>
    </row>
    <row r="313" ht="15.75" customHeight="1">
      <c r="C313" s="96"/>
      <c r="D313" s="96"/>
      <c r="E313" s="140"/>
      <c r="F313" s="96"/>
      <c r="G313" s="96"/>
      <c r="H313" s="1"/>
      <c r="I313" s="1"/>
      <c r="J313" s="1"/>
      <c r="K313" s="1"/>
      <c r="L313" s="1"/>
      <c r="M313" s="1"/>
      <c r="N313" s="141"/>
      <c r="O313" s="1"/>
      <c r="P313" s="1"/>
      <c r="Q313" s="141"/>
    </row>
    <row r="314" ht="15.75" customHeight="1">
      <c r="C314" s="96"/>
      <c r="D314" s="96"/>
      <c r="E314" s="140"/>
      <c r="F314" s="96"/>
      <c r="G314" s="96"/>
      <c r="H314" s="1"/>
      <c r="I314" s="1"/>
      <c r="J314" s="1"/>
      <c r="K314" s="1"/>
      <c r="L314" s="1"/>
      <c r="M314" s="1"/>
      <c r="N314" s="141"/>
      <c r="O314" s="1"/>
      <c r="P314" s="1"/>
      <c r="Q314" s="141"/>
    </row>
    <row r="315" ht="15.75" customHeight="1">
      <c r="C315" s="96"/>
      <c r="D315" s="96"/>
      <c r="E315" s="140"/>
      <c r="F315" s="96"/>
      <c r="G315" s="96"/>
      <c r="H315" s="1"/>
      <c r="I315" s="1"/>
      <c r="J315" s="1"/>
      <c r="K315" s="1"/>
      <c r="L315" s="1"/>
      <c r="M315" s="1"/>
      <c r="N315" s="141"/>
      <c r="O315" s="1"/>
      <c r="P315" s="1"/>
      <c r="Q315" s="141"/>
    </row>
    <row r="316" ht="15.75" customHeight="1">
      <c r="C316" s="96"/>
      <c r="D316" s="96"/>
      <c r="E316" s="140"/>
      <c r="F316" s="96"/>
      <c r="G316" s="96"/>
      <c r="H316" s="1"/>
      <c r="I316" s="1"/>
      <c r="J316" s="1"/>
      <c r="K316" s="1"/>
      <c r="L316" s="1"/>
      <c r="M316" s="1"/>
      <c r="N316" s="141"/>
      <c r="O316" s="1"/>
      <c r="P316" s="1"/>
      <c r="Q316" s="141"/>
    </row>
    <row r="317" ht="15.75" customHeight="1">
      <c r="C317" s="96"/>
      <c r="D317" s="96"/>
      <c r="E317" s="140"/>
      <c r="F317" s="96"/>
      <c r="G317" s="96"/>
      <c r="H317" s="1"/>
      <c r="I317" s="1"/>
      <c r="J317" s="1"/>
      <c r="K317" s="1"/>
      <c r="L317" s="1"/>
      <c r="M317" s="1"/>
      <c r="N317" s="141"/>
      <c r="O317" s="1"/>
      <c r="P317" s="1"/>
      <c r="Q317" s="141"/>
    </row>
    <row r="318" ht="15.75" customHeight="1">
      <c r="C318" s="96"/>
      <c r="D318" s="96"/>
      <c r="E318" s="140"/>
      <c r="F318" s="96"/>
      <c r="G318" s="96"/>
      <c r="H318" s="1"/>
      <c r="I318" s="1"/>
      <c r="J318" s="1"/>
      <c r="K318" s="1"/>
      <c r="L318" s="1"/>
      <c r="M318" s="1"/>
      <c r="N318" s="141"/>
      <c r="O318" s="1"/>
      <c r="P318" s="1"/>
      <c r="Q318" s="141"/>
    </row>
    <row r="319" ht="15.75" customHeight="1">
      <c r="C319" s="96"/>
      <c r="D319" s="96"/>
      <c r="E319" s="140"/>
      <c r="F319" s="96"/>
      <c r="G319" s="96"/>
      <c r="H319" s="1"/>
      <c r="I319" s="1"/>
      <c r="J319" s="1"/>
      <c r="K319" s="1"/>
      <c r="L319" s="1"/>
      <c r="M319" s="1"/>
      <c r="N319" s="141"/>
      <c r="O319" s="1"/>
      <c r="P319" s="1"/>
      <c r="Q319" s="141"/>
    </row>
    <row r="320" ht="15.75" customHeight="1">
      <c r="C320" s="96"/>
      <c r="D320" s="96"/>
      <c r="E320" s="140"/>
      <c r="F320" s="96"/>
      <c r="G320" s="96"/>
      <c r="H320" s="1"/>
      <c r="I320" s="1"/>
      <c r="J320" s="1"/>
      <c r="K320" s="1"/>
      <c r="L320" s="1"/>
      <c r="M320" s="1"/>
      <c r="N320" s="141"/>
      <c r="O320" s="1"/>
      <c r="P320" s="1"/>
      <c r="Q320" s="141"/>
    </row>
    <row r="321" ht="15.75" customHeight="1">
      <c r="C321" s="96"/>
      <c r="D321" s="96"/>
      <c r="E321" s="140"/>
      <c r="F321" s="96"/>
      <c r="G321" s="96"/>
      <c r="H321" s="1"/>
      <c r="I321" s="1"/>
      <c r="J321" s="1"/>
      <c r="K321" s="1"/>
      <c r="L321" s="1"/>
      <c r="M321" s="1"/>
      <c r="N321" s="141"/>
      <c r="O321" s="1"/>
      <c r="P321" s="1"/>
      <c r="Q321" s="141"/>
    </row>
    <row r="322" ht="15.75" customHeight="1">
      <c r="C322" s="96"/>
      <c r="D322" s="96"/>
      <c r="E322" s="140"/>
      <c r="F322" s="96"/>
      <c r="G322" s="96"/>
      <c r="H322" s="1"/>
      <c r="I322" s="1"/>
      <c r="J322" s="1"/>
      <c r="K322" s="1"/>
      <c r="L322" s="1"/>
      <c r="M322" s="1"/>
      <c r="N322" s="141"/>
      <c r="O322" s="1"/>
      <c r="P322" s="1"/>
      <c r="Q322" s="141"/>
    </row>
    <row r="323" ht="15.75" customHeight="1">
      <c r="C323" s="96"/>
      <c r="D323" s="96"/>
      <c r="E323" s="140"/>
      <c r="F323" s="96"/>
      <c r="G323" s="96"/>
      <c r="H323" s="1"/>
      <c r="I323" s="1"/>
      <c r="J323" s="1"/>
      <c r="K323" s="1"/>
      <c r="L323" s="1"/>
      <c r="M323" s="1"/>
      <c r="N323" s="141"/>
      <c r="O323" s="1"/>
      <c r="P323" s="1"/>
      <c r="Q323" s="141"/>
    </row>
    <row r="324" ht="15.75" customHeight="1">
      <c r="C324" s="96"/>
      <c r="D324" s="96"/>
      <c r="E324" s="140"/>
      <c r="F324" s="96"/>
      <c r="G324" s="96"/>
      <c r="H324" s="1"/>
      <c r="I324" s="1"/>
      <c r="J324" s="1"/>
      <c r="K324" s="1"/>
      <c r="L324" s="1"/>
      <c r="M324" s="1"/>
      <c r="N324" s="141"/>
      <c r="O324" s="1"/>
      <c r="P324" s="1"/>
      <c r="Q324" s="141"/>
    </row>
    <row r="325" ht="15.75" customHeight="1">
      <c r="C325" s="96"/>
      <c r="D325" s="96"/>
      <c r="E325" s="140"/>
      <c r="F325" s="96"/>
      <c r="G325" s="96"/>
      <c r="H325" s="1"/>
      <c r="I325" s="1"/>
      <c r="J325" s="1"/>
      <c r="K325" s="1"/>
      <c r="L325" s="1"/>
      <c r="M325" s="1"/>
      <c r="N325" s="141"/>
      <c r="O325" s="1"/>
      <c r="P325" s="1"/>
      <c r="Q325" s="141"/>
    </row>
    <row r="326" ht="15.75" customHeight="1">
      <c r="C326" s="96"/>
      <c r="D326" s="96"/>
      <c r="E326" s="140"/>
      <c r="F326" s="96"/>
      <c r="G326" s="96"/>
      <c r="H326" s="1"/>
      <c r="I326" s="1"/>
      <c r="J326" s="1"/>
      <c r="K326" s="1"/>
      <c r="L326" s="1"/>
      <c r="M326" s="1"/>
      <c r="N326" s="141"/>
      <c r="O326" s="1"/>
      <c r="P326" s="1"/>
      <c r="Q326" s="141"/>
    </row>
    <row r="327" ht="15.75" customHeight="1">
      <c r="C327" s="96"/>
      <c r="D327" s="96"/>
      <c r="E327" s="140"/>
      <c r="F327" s="96"/>
      <c r="G327" s="96"/>
      <c r="H327" s="1"/>
      <c r="I327" s="1"/>
      <c r="J327" s="1"/>
      <c r="K327" s="1"/>
      <c r="L327" s="1"/>
      <c r="M327" s="1"/>
      <c r="N327" s="141"/>
      <c r="O327" s="1"/>
      <c r="P327" s="1"/>
      <c r="Q327" s="141"/>
    </row>
    <row r="328" ht="15.75" customHeight="1">
      <c r="C328" s="96"/>
      <c r="D328" s="96"/>
      <c r="E328" s="140"/>
      <c r="F328" s="96"/>
      <c r="G328" s="96"/>
      <c r="H328" s="1"/>
      <c r="I328" s="1"/>
      <c r="J328" s="1"/>
      <c r="K328" s="1"/>
      <c r="L328" s="1"/>
      <c r="M328" s="1"/>
      <c r="N328" s="141"/>
      <c r="O328" s="1"/>
      <c r="P328" s="1"/>
      <c r="Q328" s="141"/>
    </row>
    <row r="329" ht="15.75" customHeight="1">
      <c r="C329" s="96"/>
      <c r="D329" s="96"/>
      <c r="E329" s="140"/>
      <c r="F329" s="96"/>
      <c r="G329" s="96"/>
      <c r="H329" s="1"/>
      <c r="I329" s="1"/>
      <c r="J329" s="1"/>
      <c r="K329" s="1"/>
      <c r="L329" s="1"/>
      <c r="M329" s="1"/>
      <c r="N329" s="141"/>
      <c r="O329" s="1"/>
      <c r="P329" s="1"/>
      <c r="Q329" s="141"/>
    </row>
    <row r="330" ht="15.75" customHeight="1">
      <c r="C330" s="96"/>
      <c r="D330" s="96"/>
      <c r="E330" s="140"/>
      <c r="F330" s="96"/>
      <c r="G330" s="96"/>
      <c r="H330" s="1"/>
      <c r="I330" s="1"/>
      <c r="J330" s="1"/>
      <c r="K330" s="1"/>
      <c r="L330" s="1"/>
      <c r="M330" s="1"/>
      <c r="N330" s="141"/>
      <c r="O330" s="1"/>
      <c r="P330" s="1"/>
      <c r="Q330" s="141"/>
    </row>
    <row r="331" ht="15.75" customHeight="1">
      <c r="C331" s="96"/>
      <c r="D331" s="96"/>
      <c r="E331" s="140"/>
      <c r="F331" s="96"/>
      <c r="G331" s="96"/>
      <c r="H331" s="1"/>
      <c r="I331" s="1"/>
      <c r="J331" s="1"/>
      <c r="K331" s="1"/>
      <c r="L331" s="1"/>
      <c r="M331" s="1"/>
      <c r="N331" s="141"/>
      <c r="O331" s="1"/>
      <c r="P331" s="1"/>
      <c r="Q331" s="141"/>
    </row>
    <row r="332" ht="15.75" customHeight="1">
      <c r="C332" s="96"/>
      <c r="D332" s="96"/>
      <c r="E332" s="140"/>
      <c r="F332" s="96"/>
      <c r="G332" s="96"/>
      <c r="H332" s="1"/>
      <c r="I332" s="1"/>
      <c r="J332" s="1"/>
      <c r="K332" s="1"/>
      <c r="L332" s="1"/>
      <c r="M332" s="1"/>
      <c r="N332" s="141"/>
      <c r="O332" s="1"/>
      <c r="P332" s="1"/>
      <c r="Q332" s="141"/>
    </row>
    <row r="333" ht="15.75" customHeight="1">
      <c r="C333" s="96"/>
      <c r="D333" s="96"/>
      <c r="E333" s="140"/>
      <c r="F333" s="96"/>
      <c r="G333" s="96"/>
      <c r="H333" s="1"/>
      <c r="I333" s="1"/>
      <c r="J333" s="1"/>
      <c r="K333" s="1"/>
      <c r="L333" s="1"/>
      <c r="M333" s="1"/>
      <c r="N333" s="141"/>
      <c r="O333" s="1"/>
      <c r="P333" s="1"/>
      <c r="Q333" s="141"/>
    </row>
    <row r="334" ht="15.75" customHeight="1">
      <c r="C334" s="96"/>
      <c r="D334" s="96"/>
      <c r="E334" s="140"/>
      <c r="F334" s="96"/>
      <c r="G334" s="96"/>
      <c r="H334" s="1"/>
      <c r="I334" s="1"/>
      <c r="J334" s="1"/>
      <c r="K334" s="1"/>
      <c r="L334" s="1"/>
      <c r="M334" s="1"/>
      <c r="N334" s="141"/>
      <c r="O334" s="1"/>
      <c r="P334" s="1"/>
      <c r="Q334" s="141"/>
    </row>
    <row r="335" ht="15.75" customHeight="1">
      <c r="C335" s="96"/>
      <c r="D335" s="96"/>
      <c r="E335" s="140"/>
      <c r="F335" s="96"/>
      <c r="G335" s="96"/>
      <c r="H335" s="1"/>
      <c r="I335" s="1"/>
      <c r="J335" s="1"/>
      <c r="K335" s="1"/>
      <c r="L335" s="1"/>
      <c r="M335" s="1"/>
      <c r="N335" s="141"/>
      <c r="O335" s="1"/>
      <c r="P335" s="1"/>
      <c r="Q335" s="141"/>
    </row>
    <row r="336" ht="15.75" customHeight="1">
      <c r="C336" s="96"/>
      <c r="D336" s="96"/>
      <c r="E336" s="140"/>
      <c r="F336" s="96"/>
      <c r="G336" s="96"/>
      <c r="H336" s="1"/>
      <c r="I336" s="1"/>
      <c r="J336" s="1"/>
      <c r="K336" s="1"/>
      <c r="L336" s="1"/>
      <c r="M336" s="1"/>
      <c r="N336" s="141"/>
      <c r="O336" s="1"/>
      <c r="P336" s="1"/>
      <c r="Q336" s="141"/>
    </row>
    <row r="337" ht="15.75" customHeight="1">
      <c r="C337" s="96"/>
      <c r="D337" s="96"/>
      <c r="E337" s="140"/>
      <c r="F337" s="96"/>
      <c r="G337" s="96"/>
      <c r="H337" s="1"/>
      <c r="I337" s="1"/>
      <c r="J337" s="1"/>
      <c r="K337" s="1"/>
      <c r="L337" s="1"/>
      <c r="M337" s="1"/>
      <c r="N337" s="141"/>
      <c r="O337" s="1"/>
      <c r="P337" s="1"/>
      <c r="Q337" s="141"/>
    </row>
    <row r="338" ht="15.75" customHeight="1">
      <c r="C338" s="96"/>
      <c r="D338" s="96"/>
      <c r="E338" s="140"/>
      <c r="F338" s="96"/>
      <c r="G338" s="96"/>
      <c r="H338" s="1"/>
      <c r="I338" s="1"/>
      <c r="J338" s="1"/>
      <c r="K338" s="1"/>
      <c r="L338" s="1"/>
      <c r="M338" s="1"/>
      <c r="N338" s="141"/>
      <c r="O338" s="1"/>
      <c r="P338" s="1"/>
      <c r="Q338" s="141"/>
    </row>
    <row r="339" ht="15.75" customHeight="1">
      <c r="C339" s="96"/>
      <c r="D339" s="96"/>
      <c r="E339" s="140"/>
      <c r="F339" s="96"/>
      <c r="G339" s="96"/>
      <c r="H339" s="1"/>
      <c r="I339" s="1"/>
      <c r="J339" s="1"/>
      <c r="K339" s="1"/>
      <c r="L339" s="1"/>
      <c r="M339" s="1"/>
      <c r="N339" s="141"/>
      <c r="O339" s="1"/>
      <c r="P339" s="1"/>
      <c r="Q339" s="141"/>
    </row>
    <row r="340" ht="15.75" customHeight="1">
      <c r="C340" s="96"/>
      <c r="D340" s="96"/>
      <c r="E340" s="140"/>
      <c r="F340" s="96"/>
      <c r="G340" s="96"/>
      <c r="H340" s="1"/>
      <c r="I340" s="1"/>
      <c r="J340" s="1"/>
      <c r="K340" s="1"/>
      <c r="L340" s="1"/>
      <c r="M340" s="1"/>
      <c r="N340" s="141"/>
      <c r="O340" s="1"/>
      <c r="P340" s="1"/>
      <c r="Q340" s="141"/>
    </row>
    <row r="341" ht="15.75" customHeight="1">
      <c r="C341" s="96"/>
      <c r="D341" s="96"/>
      <c r="E341" s="140"/>
      <c r="F341" s="96"/>
      <c r="G341" s="96"/>
      <c r="H341" s="1"/>
      <c r="I341" s="1"/>
      <c r="J341" s="1"/>
      <c r="K341" s="1"/>
      <c r="L341" s="1"/>
      <c r="M341" s="1"/>
      <c r="N341" s="141"/>
      <c r="O341" s="1"/>
      <c r="P341" s="1"/>
      <c r="Q341" s="141"/>
    </row>
    <row r="342" ht="15.75" customHeight="1">
      <c r="C342" s="96"/>
      <c r="D342" s="96"/>
      <c r="E342" s="140"/>
      <c r="F342" s="96"/>
      <c r="G342" s="96"/>
      <c r="H342" s="1"/>
      <c r="I342" s="1"/>
      <c r="J342" s="1"/>
      <c r="K342" s="1"/>
      <c r="L342" s="1"/>
      <c r="M342" s="1"/>
      <c r="N342" s="141"/>
      <c r="O342" s="1"/>
      <c r="P342" s="1"/>
      <c r="Q342" s="141"/>
    </row>
    <row r="343" ht="15.75" customHeight="1">
      <c r="C343" s="96"/>
      <c r="D343" s="96"/>
      <c r="E343" s="140"/>
      <c r="F343" s="96"/>
      <c r="G343" s="96"/>
      <c r="H343" s="1"/>
      <c r="I343" s="1"/>
      <c r="J343" s="1"/>
      <c r="K343" s="1"/>
      <c r="L343" s="1"/>
      <c r="M343" s="1"/>
      <c r="N343" s="141"/>
      <c r="O343" s="1"/>
      <c r="P343" s="1"/>
      <c r="Q343" s="141"/>
    </row>
    <row r="344" ht="15.75" customHeight="1">
      <c r="C344" s="96"/>
      <c r="D344" s="96"/>
      <c r="E344" s="140"/>
      <c r="F344" s="96"/>
      <c r="G344" s="96"/>
      <c r="H344" s="1"/>
      <c r="I344" s="1"/>
      <c r="J344" s="1"/>
      <c r="K344" s="1"/>
      <c r="L344" s="1"/>
      <c r="M344" s="1"/>
      <c r="N344" s="141"/>
      <c r="O344" s="1"/>
      <c r="P344" s="1"/>
      <c r="Q344" s="141"/>
    </row>
    <row r="345" ht="15.75" customHeight="1">
      <c r="C345" s="96"/>
      <c r="D345" s="96"/>
      <c r="E345" s="140"/>
      <c r="F345" s="96"/>
      <c r="G345" s="96"/>
      <c r="H345" s="1"/>
      <c r="I345" s="1"/>
      <c r="J345" s="1"/>
      <c r="K345" s="1"/>
      <c r="L345" s="1"/>
      <c r="M345" s="1"/>
      <c r="N345" s="141"/>
      <c r="O345" s="1"/>
      <c r="P345" s="1"/>
      <c r="Q345" s="141"/>
    </row>
    <row r="346" ht="15.75" customHeight="1">
      <c r="C346" s="96"/>
      <c r="D346" s="96"/>
      <c r="E346" s="140"/>
      <c r="F346" s="96"/>
      <c r="G346" s="96"/>
      <c r="H346" s="1"/>
      <c r="I346" s="1"/>
      <c r="J346" s="1"/>
      <c r="K346" s="1"/>
      <c r="L346" s="1"/>
      <c r="M346" s="1"/>
      <c r="N346" s="141"/>
      <c r="O346" s="1"/>
      <c r="P346" s="1"/>
      <c r="Q346" s="141"/>
    </row>
    <row r="347" ht="15.75" customHeight="1">
      <c r="C347" s="96"/>
      <c r="D347" s="96"/>
      <c r="E347" s="140"/>
      <c r="F347" s="96"/>
      <c r="G347" s="96"/>
      <c r="H347" s="1"/>
      <c r="I347" s="1"/>
      <c r="J347" s="1"/>
      <c r="K347" s="1"/>
      <c r="L347" s="1"/>
      <c r="M347" s="1"/>
      <c r="N347" s="141"/>
      <c r="O347" s="1"/>
      <c r="P347" s="1"/>
      <c r="Q347" s="141"/>
    </row>
    <row r="348" ht="15.75" customHeight="1">
      <c r="C348" s="96"/>
      <c r="D348" s="96"/>
      <c r="E348" s="140"/>
      <c r="F348" s="96"/>
      <c r="G348" s="96"/>
      <c r="H348" s="1"/>
      <c r="I348" s="1"/>
      <c r="J348" s="1"/>
      <c r="K348" s="1"/>
      <c r="L348" s="1"/>
      <c r="M348" s="1"/>
      <c r="N348" s="141"/>
      <c r="O348" s="1"/>
      <c r="P348" s="1"/>
      <c r="Q348" s="141"/>
    </row>
    <row r="349" ht="15.75" customHeight="1">
      <c r="C349" s="96"/>
      <c r="D349" s="96"/>
      <c r="E349" s="140"/>
      <c r="F349" s="96"/>
      <c r="G349" s="96"/>
      <c r="H349" s="1"/>
      <c r="I349" s="1"/>
      <c r="J349" s="1"/>
      <c r="K349" s="1"/>
      <c r="L349" s="1"/>
      <c r="M349" s="1"/>
      <c r="N349" s="141"/>
      <c r="O349" s="1"/>
      <c r="P349" s="1"/>
      <c r="Q349" s="141"/>
    </row>
    <row r="350" ht="15.75" customHeight="1">
      <c r="C350" s="96"/>
      <c r="D350" s="96"/>
      <c r="E350" s="140"/>
      <c r="F350" s="96"/>
      <c r="G350" s="96"/>
      <c r="H350" s="1"/>
      <c r="I350" s="1"/>
      <c r="J350" s="1"/>
      <c r="K350" s="1"/>
      <c r="L350" s="1"/>
      <c r="M350" s="1"/>
      <c r="N350" s="141"/>
      <c r="O350" s="1"/>
      <c r="P350" s="1"/>
      <c r="Q350" s="141"/>
    </row>
    <row r="351" ht="15.75" customHeight="1">
      <c r="C351" s="96"/>
      <c r="D351" s="96"/>
      <c r="E351" s="140"/>
      <c r="F351" s="96"/>
      <c r="G351" s="96"/>
      <c r="H351" s="1"/>
      <c r="I351" s="1"/>
      <c r="J351" s="1"/>
      <c r="K351" s="1"/>
      <c r="L351" s="1"/>
      <c r="M351" s="1"/>
      <c r="N351" s="141"/>
      <c r="O351" s="1"/>
      <c r="P351" s="1"/>
      <c r="Q351" s="141"/>
    </row>
    <row r="352" ht="15.75" customHeight="1">
      <c r="C352" s="96"/>
      <c r="D352" s="96"/>
      <c r="E352" s="140"/>
      <c r="F352" s="96"/>
      <c r="G352" s="96"/>
      <c r="H352" s="1"/>
      <c r="I352" s="1"/>
      <c r="J352" s="1"/>
      <c r="K352" s="1"/>
      <c r="L352" s="1"/>
      <c r="M352" s="1"/>
      <c r="N352" s="141"/>
      <c r="O352" s="1"/>
      <c r="P352" s="1"/>
      <c r="Q352" s="141"/>
    </row>
    <row r="353" ht="15.75" customHeight="1">
      <c r="C353" s="96"/>
      <c r="D353" s="96"/>
      <c r="E353" s="140"/>
      <c r="F353" s="96"/>
      <c r="G353" s="96"/>
      <c r="H353" s="1"/>
      <c r="I353" s="1"/>
      <c r="J353" s="1"/>
      <c r="K353" s="1"/>
      <c r="L353" s="1"/>
      <c r="M353" s="1"/>
      <c r="N353" s="141"/>
      <c r="O353" s="1"/>
      <c r="P353" s="1"/>
      <c r="Q353" s="141"/>
    </row>
    <row r="354" ht="15.75" customHeight="1">
      <c r="C354" s="96"/>
      <c r="D354" s="96"/>
      <c r="E354" s="140"/>
      <c r="F354" s="96"/>
      <c r="G354" s="96"/>
      <c r="H354" s="1"/>
      <c r="I354" s="1"/>
      <c r="J354" s="1"/>
      <c r="K354" s="1"/>
      <c r="L354" s="1"/>
      <c r="M354" s="1"/>
      <c r="N354" s="141"/>
      <c r="O354" s="1"/>
      <c r="P354" s="1"/>
      <c r="Q354" s="141"/>
    </row>
    <row r="355" ht="15.75" customHeight="1">
      <c r="C355" s="96"/>
      <c r="D355" s="96"/>
      <c r="E355" s="140"/>
      <c r="F355" s="96"/>
      <c r="G355" s="96"/>
      <c r="H355" s="1"/>
      <c r="I355" s="1"/>
      <c r="J355" s="1"/>
      <c r="K355" s="1"/>
      <c r="L355" s="1"/>
      <c r="M355" s="1"/>
      <c r="N355" s="141"/>
      <c r="O355" s="1"/>
      <c r="P355" s="1"/>
      <c r="Q355" s="141"/>
    </row>
    <row r="356" ht="15.75" customHeight="1">
      <c r="C356" s="96"/>
      <c r="D356" s="96"/>
      <c r="E356" s="140"/>
      <c r="F356" s="96"/>
      <c r="G356" s="96"/>
      <c r="H356" s="1"/>
      <c r="I356" s="1"/>
      <c r="J356" s="1"/>
      <c r="K356" s="1"/>
      <c r="L356" s="1"/>
      <c r="M356" s="1"/>
      <c r="N356" s="141"/>
      <c r="O356" s="1"/>
      <c r="P356" s="1"/>
      <c r="Q356" s="141"/>
    </row>
    <row r="357" ht="15.75" customHeight="1">
      <c r="C357" s="96"/>
      <c r="D357" s="96"/>
      <c r="E357" s="140"/>
      <c r="F357" s="96"/>
      <c r="G357" s="96"/>
      <c r="H357" s="1"/>
      <c r="I357" s="1"/>
      <c r="J357" s="1"/>
      <c r="K357" s="1"/>
      <c r="L357" s="1"/>
      <c r="M357" s="1"/>
      <c r="N357" s="141"/>
      <c r="O357" s="1"/>
      <c r="P357" s="1"/>
      <c r="Q357" s="141"/>
    </row>
    <row r="358" ht="15.75" customHeight="1">
      <c r="C358" s="96"/>
      <c r="D358" s="96"/>
      <c r="E358" s="140"/>
      <c r="F358" s="96"/>
      <c r="G358" s="96"/>
      <c r="H358" s="1"/>
      <c r="I358" s="1"/>
      <c r="J358" s="1"/>
      <c r="K358" s="1"/>
      <c r="L358" s="1"/>
      <c r="M358" s="1"/>
      <c r="N358" s="141"/>
      <c r="O358" s="1"/>
      <c r="P358" s="1"/>
      <c r="Q358" s="141"/>
    </row>
    <row r="359" ht="15.75" customHeight="1">
      <c r="C359" s="96"/>
      <c r="D359" s="96"/>
      <c r="E359" s="140"/>
      <c r="F359" s="96"/>
      <c r="G359" s="96"/>
      <c r="H359" s="1"/>
      <c r="I359" s="1"/>
      <c r="J359" s="1"/>
      <c r="K359" s="1"/>
      <c r="L359" s="1"/>
      <c r="M359" s="1"/>
      <c r="N359" s="141"/>
      <c r="O359" s="1"/>
      <c r="P359" s="1"/>
      <c r="Q359" s="141"/>
    </row>
    <row r="360" ht="15.75" customHeight="1">
      <c r="C360" s="96"/>
      <c r="D360" s="96"/>
      <c r="E360" s="140"/>
      <c r="F360" s="96"/>
      <c r="G360" s="96"/>
      <c r="H360" s="1"/>
      <c r="I360" s="1"/>
      <c r="J360" s="1"/>
      <c r="K360" s="1"/>
      <c r="L360" s="1"/>
      <c r="M360" s="1"/>
      <c r="N360" s="141"/>
      <c r="O360" s="1"/>
      <c r="P360" s="1"/>
      <c r="Q360" s="141"/>
    </row>
    <row r="361" ht="15.75" customHeight="1">
      <c r="C361" s="96"/>
      <c r="D361" s="96"/>
      <c r="E361" s="140"/>
      <c r="F361" s="96"/>
      <c r="G361" s="96"/>
      <c r="H361" s="1"/>
      <c r="I361" s="1"/>
      <c r="J361" s="1"/>
      <c r="K361" s="1"/>
      <c r="L361" s="1"/>
      <c r="M361" s="1"/>
      <c r="N361" s="141"/>
      <c r="O361" s="1"/>
      <c r="P361" s="1"/>
      <c r="Q361" s="141"/>
    </row>
    <row r="362" ht="15.75" customHeight="1">
      <c r="C362" s="96"/>
      <c r="D362" s="96"/>
      <c r="E362" s="140"/>
      <c r="F362" s="96"/>
      <c r="G362" s="96"/>
      <c r="H362" s="1"/>
      <c r="I362" s="1"/>
      <c r="J362" s="1"/>
      <c r="K362" s="1"/>
      <c r="L362" s="1"/>
      <c r="M362" s="1"/>
      <c r="N362" s="141"/>
      <c r="O362" s="1"/>
      <c r="P362" s="1"/>
      <c r="Q362" s="141"/>
    </row>
    <row r="363" ht="15.75" customHeight="1">
      <c r="C363" s="96"/>
      <c r="D363" s="96"/>
      <c r="E363" s="140"/>
      <c r="F363" s="96"/>
      <c r="G363" s="96"/>
      <c r="H363" s="1"/>
      <c r="I363" s="1"/>
      <c r="J363" s="1"/>
      <c r="K363" s="1"/>
      <c r="L363" s="1"/>
      <c r="M363" s="1"/>
      <c r="N363" s="141"/>
      <c r="O363" s="1"/>
      <c r="P363" s="1"/>
      <c r="Q363" s="141"/>
    </row>
    <row r="364" ht="15.75" customHeight="1">
      <c r="C364" s="96"/>
      <c r="D364" s="96"/>
      <c r="E364" s="140"/>
      <c r="F364" s="96"/>
      <c r="G364" s="96"/>
      <c r="H364" s="1"/>
      <c r="I364" s="1"/>
      <c r="J364" s="1"/>
      <c r="K364" s="1"/>
      <c r="L364" s="1"/>
      <c r="M364" s="1"/>
      <c r="N364" s="141"/>
      <c r="O364" s="1"/>
      <c r="P364" s="1"/>
      <c r="Q364" s="141"/>
    </row>
    <row r="365" ht="15.75" customHeight="1">
      <c r="C365" s="96"/>
      <c r="D365" s="96"/>
      <c r="E365" s="140"/>
      <c r="F365" s="96"/>
      <c r="G365" s="96"/>
      <c r="H365" s="1"/>
      <c r="I365" s="1"/>
      <c r="J365" s="1"/>
      <c r="K365" s="1"/>
      <c r="L365" s="1"/>
      <c r="M365" s="1"/>
      <c r="N365" s="141"/>
      <c r="O365" s="1"/>
      <c r="P365" s="1"/>
      <c r="Q365" s="141"/>
    </row>
    <row r="366" ht="15.75" customHeight="1">
      <c r="C366" s="96"/>
      <c r="D366" s="96"/>
      <c r="E366" s="140"/>
      <c r="F366" s="96"/>
      <c r="G366" s="96"/>
      <c r="H366" s="1"/>
      <c r="I366" s="1"/>
      <c r="J366" s="1"/>
      <c r="K366" s="1"/>
      <c r="L366" s="1"/>
      <c r="M366" s="1"/>
      <c r="N366" s="141"/>
      <c r="O366" s="1"/>
      <c r="P366" s="1"/>
      <c r="Q366" s="141"/>
    </row>
    <row r="367" ht="15.75" customHeight="1">
      <c r="C367" s="96"/>
      <c r="D367" s="96"/>
      <c r="E367" s="140"/>
      <c r="F367" s="96"/>
      <c r="G367" s="96"/>
      <c r="H367" s="1"/>
      <c r="I367" s="1"/>
      <c r="J367" s="1"/>
      <c r="K367" s="1"/>
      <c r="L367" s="1"/>
      <c r="M367" s="1"/>
      <c r="N367" s="141"/>
      <c r="O367" s="1"/>
      <c r="P367" s="1"/>
      <c r="Q367" s="141"/>
    </row>
    <row r="368" ht="15.75" customHeight="1">
      <c r="C368" s="96"/>
      <c r="D368" s="96"/>
      <c r="E368" s="140"/>
      <c r="F368" s="96"/>
      <c r="G368" s="96"/>
      <c r="H368" s="1"/>
      <c r="I368" s="1"/>
      <c r="J368" s="1"/>
      <c r="K368" s="1"/>
      <c r="L368" s="1"/>
      <c r="M368" s="1"/>
      <c r="N368" s="141"/>
      <c r="O368" s="1"/>
      <c r="P368" s="1"/>
      <c r="Q368" s="141"/>
    </row>
    <row r="369" ht="15.75" customHeight="1">
      <c r="C369" s="96"/>
      <c r="D369" s="96"/>
      <c r="E369" s="140"/>
      <c r="F369" s="96"/>
      <c r="G369" s="96"/>
      <c r="H369" s="1"/>
      <c r="I369" s="1"/>
      <c r="J369" s="1"/>
      <c r="K369" s="1"/>
      <c r="L369" s="1"/>
      <c r="M369" s="1"/>
      <c r="N369" s="141"/>
      <c r="O369" s="1"/>
      <c r="P369" s="1"/>
      <c r="Q369" s="141"/>
    </row>
    <row r="370" ht="15.75" customHeight="1">
      <c r="C370" s="96"/>
      <c r="D370" s="96"/>
      <c r="E370" s="140"/>
      <c r="F370" s="96"/>
      <c r="G370" s="96"/>
      <c r="H370" s="1"/>
      <c r="I370" s="1"/>
      <c r="J370" s="1"/>
      <c r="K370" s="1"/>
      <c r="L370" s="1"/>
      <c r="M370" s="1"/>
      <c r="N370" s="141"/>
      <c r="O370" s="1"/>
      <c r="P370" s="1"/>
      <c r="Q370" s="141"/>
    </row>
    <row r="371" ht="15.75" customHeight="1">
      <c r="C371" s="96"/>
      <c r="D371" s="96"/>
      <c r="E371" s="140"/>
      <c r="F371" s="96"/>
      <c r="G371" s="96"/>
      <c r="H371" s="1"/>
      <c r="I371" s="1"/>
      <c r="J371" s="1"/>
      <c r="K371" s="1"/>
      <c r="L371" s="1"/>
      <c r="M371" s="1"/>
      <c r="N371" s="141"/>
      <c r="O371" s="1"/>
      <c r="P371" s="1"/>
      <c r="Q371" s="141"/>
    </row>
    <row r="372" ht="15.75" customHeight="1">
      <c r="C372" s="96"/>
      <c r="D372" s="96"/>
      <c r="E372" s="140"/>
      <c r="F372" s="96"/>
      <c r="G372" s="96"/>
      <c r="H372" s="1"/>
      <c r="I372" s="1"/>
      <c r="J372" s="1"/>
      <c r="K372" s="1"/>
      <c r="L372" s="1"/>
      <c r="M372" s="1"/>
      <c r="N372" s="141"/>
      <c r="O372" s="1"/>
      <c r="P372" s="1"/>
      <c r="Q372" s="141"/>
    </row>
    <row r="373" ht="15.75" customHeight="1">
      <c r="C373" s="96"/>
      <c r="D373" s="96"/>
      <c r="E373" s="140"/>
      <c r="F373" s="96"/>
      <c r="G373" s="96"/>
      <c r="H373" s="1"/>
      <c r="I373" s="1"/>
      <c r="J373" s="1"/>
      <c r="K373" s="1"/>
      <c r="L373" s="1"/>
      <c r="M373" s="1"/>
      <c r="N373" s="141"/>
      <c r="O373" s="1"/>
      <c r="P373" s="1"/>
      <c r="Q373" s="141"/>
    </row>
    <row r="374" ht="15.75" customHeight="1">
      <c r="C374" s="96"/>
      <c r="D374" s="96"/>
      <c r="E374" s="140"/>
      <c r="F374" s="96"/>
      <c r="G374" s="96"/>
      <c r="H374" s="1"/>
      <c r="I374" s="1"/>
      <c r="J374" s="1"/>
      <c r="K374" s="1"/>
      <c r="L374" s="1"/>
      <c r="M374" s="1"/>
      <c r="N374" s="141"/>
      <c r="O374" s="1"/>
      <c r="P374" s="1"/>
      <c r="Q374" s="141"/>
    </row>
    <row r="375" ht="15.75" customHeight="1">
      <c r="C375" s="96"/>
      <c r="D375" s="96"/>
      <c r="E375" s="140"/>
      <c r="F375" s="96"/>
      <c r="G375" s="96"/>
      <c r="H375" s="1"/>
      <c r="I375" s="1"/>
      <c r="J375" s="1"/>
      <c r="K375" s="1"/>
      <c r="L375" s="1"/>
      <c r="M375" s="1"/>
      <c r="N375" s="141"/>
      <c r="O375" s="1"/>
      <c r="P375" s="1"/>
      <c r="Q375" s="141"/>
    </row>
    <row r="376" ht="15.75" customHeight="1">
      <c r="C376" s="96"/>
      <c r="D376" s="96"/>
      <c r="E376" s="140"/>
      <c r="F376" s="96"/>
      <c r="G376" s="96"/>
      <c r="H376" s="1"/>
      <c r="I376" s="1"/>
      <c r="J376" s="1"/>
      <c r="K376" s="1"/>
      <c r="L376" s="1"/>
      <c r="M376" s="1"/>
      <c r="N376" s="141"/>
      <c r="O376" s="1"/>
      <c r="P376" s="1"/>
      <c r="Q376" s="141"/>
    </row>
    <row r="377" ht="15.75" customHeight="1">
      <c r="C377" s="96"/>
      <c r="D377" s="96"/>
      <c r="E377" s="140"/>
      <c r="F377" s="96"/>
      <c r="G377" s="96"/>
      <c r="H377" s="1"/>
      <c r="I377" s="1"/>
      <c r="J377" s="1"/>
      <c r="K377" s="1"/>
      <c r="L377" s="1"/>
      <c r="M377" s="1"/>
      <c r="N377" s="141"/>
      <c r="O377" s="1"/>
      <c r="P377" s="1"/>
      <c r="Q377" s="141"/>
    </row>
    <row r="378" ht="15.75" customHeight="1">
      <c r="C378" s="96"/>
      <c r="D378" s="96"/>
      <c r="E378" s="140"/>
      <c r="F378" s="96"/>
      <c r="G378" s="96"/>
      <c r="H378" s="1"/>
      <c r="I378" s="1"/>
      <c r="J378" s="1"/>
      <c r="K378" s="1"/>
      <c r="L378" s="1"/>
      <c r="M378" s="1"/>
      <c r="N378" s="141"/>
      <c r="O378" s="1"/>
      <c r="P378" s="1"/>
      <c r="Q378" s="141"/>
    </row>
    <row r="379" ht="15.75" customHeight="1">
      <c r="C379" s="96"/>
      <c r="D379" s="96"/>
      <c r="E379" s="140"/>
      <c r="F379" s="96"/>
      <c r="G379" s="96"/>
      <c r="H379" s="1"/>
      <c r="I379" s="1"/>
      <c r="J379" s="1"/>
      <c r="K379" s="1"/>
      <c r="L379" s="1"/>
      <c r="M379" s="1"/>
      <c r="N379" s="141"/>
      <c r="O379" s="1"/>
      <c r="P379" s="1"/>
      <c r="Q379" s="141"/>
    </row>
    <row r="380" ht="15.75" customHeight="1">
      <c r="C380" s="96"/>
      <c r="D380" s="96"/>
      <c r="E380" s="140"/>
      <c r="F380" s="96"/>
      <c r="G380" s="96"/>
      <c r="H380" s="1"/>
      <c r="I380" s="1"/>
      <c r="J380" s="1"/>
      <c r="K380" s="1"/>
      <c r="L380" s="1"/>
      <c r="M380" s="1"/>
      <c r="N380" s="141"/>
      <c r="O380" s="1"/>
      <c r="P380" s="1"/>
      <c r="Q380" s="141"/>
    </row>
    <row r="381" ht="15.75" customHeight="1">
      <c r="C381" s="96"/>
      <c r="D381" s="96"/>
      <c r="E381" s="140"/>
      <c r="F381" s="96"/>
      <c r="G381" s="96"/>
      <c r="H381" s="1"/>
      <c r="I381" s="1"/>
      <c r="J381" s="1"/>
      <c r="K381" s="1"/>
      <c r="L381" s="1"/>
      <c r="M381" s="1"/>
      <c r="N381" s="141"/>
      <c r="O381" s="1"/>
      <c r="P381" s="1"/>
      <c r="Q381" s="141"/>
    </row>
    <row r="382" ht="15.75" customHeight="1">
      <c r="C382" s="96"/>
      <c r="D382" s="96"/>
      <c r="E382" s="140"/>
      <c r="F382" s="96"/>
      <c r="G382" s="96"/>
      <c r="H382" s="1"/>
      <c r="I382" s="1"/>
      <c r="J382" s="1"/>
      <c r="K382" s="1"/>
      <c r="L382" s="1"/>
      <c r="M382" s="1"/>
      <c r="N382" s="141"/>
      <c r="O382" s="1"/>
      <c r="P382" s="1"/>
      <c r="Q382" s="141"/>
    </row>
    <row r="383" ht="15.75" customHeight="1">
      <c r="C383" s="96"/>
      <c r="D383" s="96"/>
      <c r="E383" s="140"/>
      <c r="F383" s="96"/>
      <c r="G383" s="96"/>
      <c r="H383" s="1"/>
      <c r="I383" s="1"/>
      <c r="J383" s="1"/>
      <c r="K383" s="1"/>
      <c r="L383" s="1"/>
      <c r="M383" s="1"/>
      <c r="N383" s="141"/>
      <c r="O383" s="1"/>
      <c r="P383" s="1"/>
      <c r="Q383" s="141"/>
    </row>
    <row r="384" ht="15.75" customHeight="1">
      <c r="C384" s="96"/>
      <c r="D384" s="96"/>
      <c r="E384" s="140"/>
      <c r="F384" s="96"/>
      <c r="G384" s="96"/>
      <c r="H384" s="1"/>
      <c r="I384" s="1"/>
      <c r="J384" s="1"/>
      <c r="K384" s="1"/>
      <c r="L384" s="1"/>
      <c r="M384" s="1"/>
      <c r="N384" s="141"/>
      <c r="O384" s="1"/>
      <c r="P384" s="1"/>
      <c r="Q384" s="141"/>
    </row>
    <row r="385" ht="15.75" customHeight="1">
      <c r="C385" s="96"/>
      <c r="D385" s="96"/>
      <c r="E385" s="140"/>
      <c r="F385" s="96"/>
      <c r="G385" s="96"/>
      <c r="H385" s="1"/>
      <c r="I385" s="1"/>
      <c r="J385" s="1"/>
      <c r="K385" s="1"/>
      <c r="L385" s="1"/>
      <c r="M385" s="1"/>
      <c r="N385" s="141"/>
      <c r="O385" s="1"/>
      <c r="P385" s="1"/>
      <c r="Q385" s="141"/>
    </row>
    <row r="386" ht="15.75" customHeight="1">
      <c r="C386" s="96"/>
      <c r="D386" s="96"/>
      <c r="E386" s="140"/>
      <c r="F386" s="96"/>
      <c r="G386" s="96"/>
      <c r="H386" s="1"/>
      <c r="I386" s="1"/>
      <c r="J386" s="1"/>
      <c r="K386" s="1"/>
      <c r="L386" s="1"/>
      <c r="M386" s="1"/>
      <c r="N386" s="141"/>
      <c r="O386" s="1"/>
      <c r="P386" s="1"/>
      <c r="Q386" s="141"/>
    </row>
    <row r="387" ht="15.75" customHeight="1">
      <c r="C387" s="96"/>
      <c r="D387" s="96"/>
      <c r="E387" s="140"/>
      <c r="F387" s="96"/>
      <c r="G387" s="96"/>
      <c r="H387" s="1"/>
      <c r="I387" s="1"/>
      <c r="J387" s="1"/>
      <c r="K387" s="1"/>
      <c r="L387" s="1"/>
      <c r="M387" s="1"/>
      <c r="N387" s="141"/>
      <c r="O387" s="1"/>
      <c r="P387" s="1"/>
      <c r="Q387" s="141"/>
    </row>
    <row r="388" ht="15.75" customHeight="1">
      <c r="C388" s="96"/>
      <c r="D388" s="96"/>
      <c r="E388" s="140"/>
      <c r="F388" s="96"/>
      <c r="G388" s="96"/>
      <c r="H388" s="1"/>
      <c r="I388" s="1"/>
      <c r="J388" s="1"/>
      <c r="K388" s="1"/>
      <c r="L388" s="1"/>
      <c r="M388" s="1"/>
      <c r="N388" s="141"/>
      <c r="O388" s="1"/>
      <c r="P388" s="1"/>
      <c r="Q388" s="141"/>
    </row>
    <row r="389" ht="15.75" customHeight="1">
      <c r="C389" s="96"/>
      <c r="D389" s="96"/>
      <c r="E389" s="140"/>
      <c r="F389" s="96"/>
      <c r="G389" s="96"/>
      <c r="H389" s="1"/>
      <c r="I389" s="1"/>
      <c r="J389" s="1"/>
      <c r="K389" s="1"/>
      <c r="L389" s="1"/>
      <c r="M389" s="1"/>
      <c r="N389" s="141"/>
      <c r="O389" s="1"/>
      <c r="P389" s="1"/>
      <c r="Q389" s="141"/>
    </row>
    <row r="390" ht="15.75" customHeight="1">
      <c r="C390" s="96"/>
      <c r="D390" s="96"/>
      <c r="E390" s="140"/>
      <c r="F390" s="96"/>
      <c r="G390" s="96"/>
      <c r="H390" s="1"/>
      <c r="I390" s="1"/>
      <c r="J390" s="1"/>
      <c r="K390" s="1"/>
      <c r="L390" s="1"/>
      <c r="M390" s="1"/>
      <c r="N390" s="141"/>
      <c r="O390" s="1"/>
      <c r="P390" s="1"/>
      <c r="Q390" s="141"/>
    </row>
    <row r="391" ht="15.75" customHeight="1">
      <c r="C391" s="96"/>
      <c r="D391" s="96"/>
      <c r="E391" s="140"/>
      <c r="F391" s="96"/>
      <c r="G391" s="96"/>
      <c r="H391" s="1"/>
      <c r="I391" s="1"/>
      <c r="J391" s="1"/>
      <c r="K391" s="1"/>
      <c r="L391" s="1"/>
      <c r="M391" s="1"/>
      <c r="N391" s="141"/>
      <c r="O391" s="1"/>
      <c r="P391" s="1"/>
      <c r="Q391" s="141"/>
    </row>
    <row r="392" ht="15.75" customHeight="1">
      <c r="C392" s="96"/>
      <c r="D392" s="96"/>
      <c r="E392" s="140"/>
      <c r="F392" s="96"/>
      <c r="G392" s="96"/>
      <c r="H392" s="1"/>
      <c r="I392" s="1"/>
      <c r="J392" s="1"/>
      <c r="K392" s="1"/>
      <c r="L392" s="1"/>
      <c r="M392" s="1"/>
      <c r="N392" s="141"/>
      <c r="O392" s="1"/>
      <c r="P392" s="1"/>
      <c r="Q392" s="141"/>
    </row>
    <row r="393" ht="15.75" customHeight="1">
      <c r="C393" s="96"/>
      <c r="D393" s="96"/>
      <c r="E393" s="140"/>
      <c r="F393" s="96"/>
      <c r="G393" s="96"/>
      <c r="H393" s="1"/>
      <c r="I393" s="1"/>
      <c r="J393" s="1"/>
      <c r="K393" s="1"/>
      <c r="L393" s="1"/>
      <c r="M393" s="1"/>
      <c r="N393" s="141"/>
      <c r="O393" s="1"/>
      <c r="P393" s="1"/>
      <c r="Q393" s="141"/>
    </row>
    <row r="394" ht="15.75" customHeight="1">
      <c r="C394" s="96"/>
      <c r="D394" s="96"/>
      <c r="E394" s="140"/>
      <c r="F394" s="96"/>
      <c r="G394" s="96"/>
      <c r="H394" s="1"/>
      <c r="I394" s="1"/>
      <c r="J394" s="1"/>
      <c r="K394" s="1"/>
      <c r="L394" s="1"/>
      <c r="M394" s="1"/>
      <c r="N394" s="141"/>
      <c r="O394" s="1"/>
      <c r="P394" s="1"/>
      <c r="Q394" s="141"/>
    </row>
    <row r="395" ht="15.75" customHeight="1">
      <c r="C395" s="96"/>
      <c r="D395" s="96"/>
      <c r="E395" s="140"/>
      <c r="F395" s="96"/>
      <c r="G395" s="96"/>
      <c r="H395" s="1"/>
      <c r="I395" s="1"/>
      <c r="J395" s="1"/>
      <c r="K395" s="1"/>
      <c r="L395" s="1"/>
      <c r="M395" s="1"/>
      <c r="N395" s="141"/>
      <c r="O395" s="1"/>
      <c r="P395" s="1"/>
      <c r="Q395" s="141"/>
    </row>
    <row r="396" ht="15.75" customHeight="1">
      <c r="C396" s="96"/>
      <c r="D396" s="96"/>
      <c r="E396" s="140"/>
      <c r="F396" s="96"/>
      <c r="G396" s="96"/>
      <c r="H396" s="1"/>
      <c r="I396" s="1"/>
      <c r="J396" s="1"/>
      <c r="K396" s="1"/>
      <c r="L396" s="1"/>
      <c r="M396" s="1"/>
      <c r="N396" s="141"/>
      <c r="O396" s="1"/>
      <c r="P396" s="1"/>
      <c r="Q396" s="141"/>
    </row>
    <row r="397" ht="15.75" customHeight="1">
      <c r="C397" s="96"/>
      <c r="D397" s="96"/>
      <c r="E397" s="140"/>
      <c r="F397" s="96"/>
      <c r="G397" s="96"/>
      <c r="H397" s="1"/>
      <c r="I397" s="1"/>
      <c r="J397" s="1"/>
      <c r="K397" s="1"/>
      <c r="L397" s="1"/>
      <c r="M397" s="1"/>
      <c r="N397" s="141"/>
      <c r="O397" s="1"/>
      <c r="P397" s="1"/>
      <c r="Q397" s="141"/>
    </row>
    <row r="398" ht="15.75" customHeight="1">
      <c r="C398" s="96"/>
      <c r="D398" s="96"/>
      <c r="E398" s="140"/>
      <c r="F398" s="96"/>
      <c r="G398" s="96"/>
      <c r="H398" s="1"/>
      <c r="I398" s="1"/>
      <c r="J398" s="1"/>
      <c r="K398" s="1"/>
      <c r="L398" s="1"/>
      <c r="M398" s="1"/>
      <c r="N398" s="141"/>
      <c r="O398" s="1"/>
      <c r="P398" s="1"/>
      <c r="Q398" s="141"/>
    </row>
    <row r="399" ht="15.75" customHeight="1">
      <c r="C399" s="96"/>
      <c r="D399" s="96"/>
      <c r="E399" s="140"/>
      <c r="F399" s="96"/>
      <c r="G399" s="96"/>
      <c r="H399" s="1"/>
      <c r="I399" s="1"/>
      <c r="J399" s="1"/>
      <c r="K399" s="1"/>
      <c r="L399" s="1"/>
      <c r="M399" s="1"/>
      <c r="N399" s="141"/>
      <c r="O399" s="1"/>
      <c r="P399" s="1"/>
      <c r="Q399" s="141"/>
    </row>
    <row r="400" ht="15.75" customHeight="1">
      <c r="C400" s="96"/>
      <c r="D400" s="96"/>
      <c r="E400" s="140"/>
      <c r="F400" s="96"/>
      <c r="G400" s="96"/>
      <c r="H400" s="1"/>
      <c r="I400" s="1"/>
      <c r="J400" s="1"/>
      <c r="K400" s="1"/>
      <c r="L400" s="1"/>
      <c r="M400" s="1"/>
      <c r="N400" s="141"/>
      <c r="O400" s="1"/>
      <c r="P400" s="1"/>
      <c r="Q400" s="141"/>
    </row>
    <row r="401" ht="15.75" customHeight="1">
      <c r="C401" s="96"/>
      <c r="D401" s="96"/>
      <c r="E401" s="140"/>
      <c r="F401" s="96"/>
      <c r="G401" s="96"/>
      <c r="H401" s="1"/>
      <c r="I401" s="1"/>
      <c r="J401" s="1"/>
      <c r="K401" s="1"/>
      <c r="L401" s="1"/>
      <c r="M401" s="1"/>
      <c r="N401" s="141"/>
      <c r="O401" s="1"/>
      <c r="P401" s="1"/>
      <c r="Q401" s="141"/>
    </row>
    <row r="402" ht="15.75" customHeight="1">
      <c r="C402" s="96"/>
      <c r="D402" s="96"/>
      <c r="E402" s="140"/>
      <c r="F402" s="96"/>
      <c r="G402" s="96"/>
      <c r="H402" s="1"/>
      <c r="I402" s="1"/>
      <c r="J402" s="1"/>
      <c r="K402" s="1"/>
      <c r="L402" s="1"/>
      <c r="M402" s="1"/>
      <c r="N402" s="141"/>
      <c r="O402" s="1"/>
      <c r="P402" s="1"/>
      <c r="Q402" s="141"/>
    </row>
    <row r="403" ht="15.75" customHeight="1">
      <c r="C403" s="96"/>
      <c r="D403" s="96"/>
      <c r="E403" s="140"/>
      <c r="F403" s="96"/>
      <c r="G403" s="96"/>
      <c r="H403" s="1"/>
      <c r="I403" s="1"/>
      <c r="J403" s="1"/>
      <c r="K403" s="1"/>
      <c r="L403" s="1"/>
      <c r="M403" s="1"/>
      <c r="N403" s="141"/>
      <c r="O403" s="1"/>
      <c r="P403" s="1"/>
      <c r="Q403" s="141"/>
    </row>
    <row r="404" ht="15.75" customHeight="1">
      <c r="C404" s="96"/>
      <c r="D404" s="96"/>
      <c r="E404" s="140"/>
      <c r="F404" s="96"/>
      <c r="G404" s="96"/>
      <c r="H404" s="1"/>
      <c r="I404" s="1"/>
      <c r="J404" s="1"/>
      <c r="K404" s="1"/>
      <c r="L404" s="1"/>
      <c r="M404" s="1"/>
      <c r="N404" s="141"/>
      <c r="O404" s="1"/>
      <c r="P404" s="1"/>
      <c r="Q404" s="141"/>
    </row>
    <row r="405" ht="15.75" customHeight="1">
      <c r="C405" s="96"/>
      <c r="D405" s="96"/>
      <c r="E405" s="140"/>
      <c r="F405" s="96"/>
      <c r="G405" s="96"/>
      <c r="H405" s="1"/>
      <c r="I405" s="1"/>
      <c r="J405" s="1"/>
      <c r="K405" s="1"/>
      <c r="L405" s="1"/>
      <c r="M405" s="1"/>
      <c r="N405" s="141"/>
      <c r="O405" s="1"/>
      <c r="P405" s="1"/>
      <c r="Q405" s="141"/>
    </row>
    <row r="406" ht="15.75" customHeight="1">
      <c r="C406" s="96"/>
      <c r="D406" s="96"/>
      <c r="E406" s="140"/>
      <c r="F406" s="96"/>
      <c r="G406" s="96"/>
      <c r="H406" s="1"/>
      <c r="I406" s="1"/>
      <c r="J406" s="1"/>
      <c r="K406" s="1"/>
      <c r="L406" s="1"/>
      <c r="M406" s="1"/>
      <c r="N406" s="141"/>
      <c r="O406" s="1"/>
      <c r="P406" s="1"/>
      <c r="Q406" s="141"/>
    </row>
    <row r="407" ht="15.75" customHeight="1">
      <c r="C407" s="96"/>
      <c r="D407" s="96"/>
      <c r="E407" s="140"/>
      <c r="F407" s="96"/>
      <c r="G407" s="96"/>
      <c r="H407" s="1"/>
      <c r="I407" s="1"/>
      <c r="J407" s="1"/>
      <c r="K407" s="1"/>
      <c r="L407" s="1"/>
      <c r="M407" s="1"/>
      <c r="N407" s="141"/>
      <c r="O407" s="1"/>
      <c r="P407" s="1"/>
      <c r="Q407" s="141"/>
    </row>
    <row r="408" ht="15.75" customHeight="1">
      <c r="C408" s="96"/>
      <c r="D408" s="96"/>
      <c r="E408" s="140"/>
      <c r="F408" s="96"/>
      <c r="G408" s="96"/>
      <c r="H408" s="1"/>
      <c r="I408" s="1"/>
      <c r="J408" s="1"/>
      <c r="K408" s="1"/>
      <c r="L408" s="1"/>
      <c r="M408" s="1"/>
      <c r="N408" s="141"/>
      <c r="O408" s="1"/>
      <c r="P408" s="1"/>
      <c r="Q408" s="141"/>
    </row>
    <row r="409" ht="15.75" customHeight="1">
      <c r="C409" s="96"/>
      <c r="D409" s="96"/>
      <c r="E409" s="140"/>
      <c r="F409" s="96"/>
      <c r="G409" s="96"/>
      <c r="H409" s="1"/>
      <c r="I409" s="1"/>
      <c r="J409" s="1"/>
      <c r="K409" s="1"/>
      <c r="L409" s="1"/>
      <c r="M409" s="1"/>
      <c r="N409" s="141"/>
      <c r="O409" s="1"/>
      <c r="P409" s="1"/>
      <c r="Q409" s="141"/>
    </row>
    <row r="410" ht="15.75" customHeight="1">
      <c r="C410" s="96"/>
      <c r="D410" s="96"/>
      <c r="E410" s="140"/>
      <c r="F410" s="96"/>
      <c r="G410" s="96"/>
      <c r="H410" s="1"/>
      <c r="I410" s="1"/>
      <c r="J410" s="1"/>
      <c r="K410" s="1"/>
      <c r="L410" s="1"/>
      <c r="M410" s="1"/>
      <c r="N410" s="141"/>
      <c r="O410" s="1"/>
      <c r="P410" s="1"/>
      <c r="Q410" s="141"/>
    </row>
    <row r="411" ht="15.75" customHeight="1">
      <c r="C411" s="96"/>
      <c r="D411" s="96"/>
      <c r="E411" s="140"/>
      <c r="F411" s="96"/>
      <c r="G411" s="96"/>
      <c r="H411" s="1"/>
      <c r="I411" s="1"/>
      <c r="J411" s="1"/>
      <c r="K411" s="1"/>
      <c r="L411" s="1"/>
      <c r="M411" s="1"/>
      <c r="N411" s="141"/>
      <c r="O411" s="1"/>
      <c r="P411" s="1"/>
      <c r="Q411" s="141"/>
    </row>
    <row r="412" ht="15.75" customHeight="1">
      <c r="C412" s="96"/>
      <c r="D412" s="96"/>
      <c r="E412" s="140"/>
      <c r="F412" s="96"/>
      <c r="G412" s="96"/>
      <c r="H412" s="1"/>
      <c r="I412" s="1"/>
      <c r="J412" s="1"/>
      <c r="K412" s="1"/>
      <c r="L412" s="1"/>
      <c r="M412" s="1"/>
      <c r="N412" s="141"/>
      <c r="O412" s="1"/>
      <c r="P412" s="1"/>
      <c r="Q412" s="141"/>
    </row>
    <row r="413" ht="15.75" customHeight="1">
      <c r="C413" s="96"/>
      <c r="D413" s="96"/>
      <c r="E413" s="140"/>
      <c r="F413" s="96"/>
      <c r="G413" s="96"/>
      <c r="H413" s="1"/>
      <c r="I413" s="1"/>
      <c r="J413" s="1"/>
      <c r="K413" s="1"/>
      <c r="L413" s="1"/>
      <c r="M413" s="1"/>
      <c r="N413" s="141"/>
      <c r="O413" s="1"/>
      <c r="P413" s="1"/>
      <c r="Q413" s="141"/>
    </row>
    <row r="414" ht="15.75" customHeight="1">
      <c r="C414" s="96"/>
      <c r="D414" s="96"/>
      <c r="E414" s="140"/>
      <c r="F414" s="96"/>
      <c r="G414" s="96"/>
      <c r="H414" s="1"/>
      <c r="I414" s="1"/>
      <c r="J414" s="1"/>
      <c r="K414" s="1"/>
      <c r="L414" s="1"/>
      <c r="M414" s="1"/>
      <c r="N414" s="141"/>
      <c r="O414" s="1"/>
      <c r="P414" s="1"/>
      <c r="Q414" s="141"/>
    </row>
    <row r="415" ht="15.75" customHeight="1">
      <c r="C415" s="96"/>
      <c r="D415" s="96"/>
      <c r="E415" s="140"/>
      <c r="F415" s="96"/>
      <c r="G415" s="96"/>
      <c r="H415" s="1"/>
      <c r="I415" s="1"/>
      <c r="J415" s="1"/>
      <c r="K415" s="1"/>
      <c r="L415" s="1"/>
      <c r="M415" s="1"/>
      <c r="N415" s="141"/>
      <c r="O415" s="1"/>
      <c r="P415" s="1"/>
      <c r="Q415" s="141"/>
    </row>
    <row r="416" ht="15.75" customHeight="1">
      <c r="C416" s="96"/>
      <c r="D416" s="96"/>
      <c r="E416" s="140"/>
      <c r="F416" s="96"/>
      <c r="G416" s="96"/>
      <c r="H416" s="1"/>
      <c r="I416" s="1"/>
      <c r="J416" s="1"/>
      <c r="K416" s="1"/>
      <c r="L416" s="1"/>
      <c r="M416" s="1"/>
      <c r="N416" s="141"/>
      <c r="O416" s="1"/>
      <c r="P416" s="1"/>
      <c r="Q416" s="141"/>
    </row>
    <row r="417" ht="15.75" customHeight="1">
      <c r="C417" s="96"/>
      <c r="D417" s="96"/>
      <c r="E417" s="140"/>
      <c r="F417" s="96"/>
      <c r="G417" s="96"/>
      <c r="H417" s="1"/>
      <c r="I417" s="1"/>
      <c r="J417" s="1"/>
      <c r="K417" s="1"/>
      <c r="L417" s="1"/>
      <c r="M417" s="1"/>
      <c r="N417" s="141"/>
      <c r="O417" s="1"/>
      <c r="P417" s="1"/>
      <c r="Q417" s="141"/>
    </row>
    <row r="418" ht="15.75" customHeight="1">
      <c r="C418" s="96"/>
      <c r="D418" s="96"/>
      <c r="E418" s="140"/>
      <c r="F418" s="96"/>
      <c r="G418" s="96"/>
      <c r="H418" s="1"/>
      <c r="I418" s="1"/>
      <c r="J418" s="1"/>
      <c r="K418" s="1"/>
      <c r="L418" s="1"/>
      <c r="M418" s="1"/>
      <c r="N418" s="141"/>
      <c r="O418" s="1"/>
      <c r="P418" s="1"/>
      <c r="Q418" s="141"/>
    </row>
    <row r="419" ht="15.75" customHeight="1">
      <c r="C419" s="96"/>
      <c r="D419" s="96"/>
      <c r="E419" s="140"/>
      <c r="F419" s="96"/>
      <c r="G419" s="96"/>
      <c r="H419" s="1"/>
      <c r="I419" s="1"/>
      <c r="J419" s="1"/>
      <c r="K419" s="1"/>
      <c r="L419" s="1"/>
      <c r="M419" s="1"/>
      <c r="N419" s="141"/>
      <c r="O419" s="1"/>
      <c r="P419" s="1"/>
      <c r="Q419" s="141"/>
    </row>
    <row r="420" ht="15.75" customHeight="1">
      <c r="C420" s="96"/>
      <c r="D420" s="96"/>
      <c r="E420" s="140"/>
      <c r="F420" s="96"/>
      <c r="G420" s="96"/>
      <c r="H420" s="1"/>
      <c r="I420" s="1"/>
      <c r="J420" s="1"/>
      <c r="K420" s="1"/>
      <c r="L420" s="1"/>
      <c r="M420" s="1"/>
      <c r="N420" s="141"/>
      <c r="O420" s="1"/>
      <c r="P420" s="1"/>
      <c r="Q420" s="141"/>
    </row>
    <row r="421" ht="15.75" customHeight="1">
      <c r="C421" s="96"/>
      <c r="D421" s="96"/>
      <c r="E421" s="140"/>
      <c r="F421" s="96"/>
      <c r="G421" s="96"/>
      <c r="H421" s="1"/>
      <c r="I421" s="1"/>
      <c r="J421" s="1"/>
      <c r="K421" s="1"/>
      <c r="L421" s="1"/>
      <c r="M421" s="1"/>
      <c r="N421" s="141"/>
      <c r="O421" s="1"/>
      <c r="P421" s="1"/>
      <c r="Q421" s="141"/>
    </row>
    <row r="422" ht="15.75" customHeight="1">
      <c r="C422" s="96"/>
      <c r="D422" s="96"/>
      <c r="E422" s="140"/>
      <c r="F422" s="96"/>
      <c r="G422" s="96"/>
      <c r="H422" s="1"/>
      <c r="I422" s="1"/>
      <c r="J422" s="1"/>
      <c r="K422" s="1"/>
      <c r="L422" s="1"/>
      <c r="M422" s="1"/>
      <c r="N422" s="141"/>
      <c r="O422" s="1"/>
      <c r="P422" s="1"/>
      <c r="Q422" s="141"/>
    </row>
    <row r="423" ht="15.75" customHeight="1">
      <c r="C423" s="96"/>
      <c r="D423" s="96"/>
      <c r="E423" s="140"/>
      <c r="F423" s="96"/>
      <c r="G423" s="96"/>
      <c r="H423" s="1"/>
      <c r="I423" s="1"/>
      <c r="J423" s="1"/>
      <c r="K423" s="1"/>
      <c r="L423" s="1"/>
      <c r="M423" s="1"/>
      <c r="N423" s="141"/>
      <c r="O423" s="1"/>
      <c r="P423" s="1"/>
      <c r="Q423" s="141"/>
    </row>
    <row r="424" ht="15.75" customHeight="1">
      <c r="C424" s="96"/>
      <c r="D424" s="96"/>
      <c r="E424" s="140"/>
      <c r="F424" s="96"/>
      <c r="G424" s="96"/>
      <c r="H424" s="1"/>
      <c r="I424" s="1"/>
      <c r="J424" s="1"/>
      <c r="K424" s="1"/>
      <c r="L424" s="1"/>
      <c r="M424" s="1"/>
      <c r="N424" s="141"/>
      <c r="O424" s="1"/>
      <c r="P424" s="1"/>
      <c r="Q424" s="141"/>
    </row>
    <row r="425" ht="15.75" customHeight="1">
      <c r="C425" s="96"/>
      <c r="D425" s="96"/>
      <c r="E425" s="140"/>
      <c r="F425" s="96"/>
      <c r="G425" s="96"/>
      <c r="H425" s="1"/>
      <c r="I425" s="1"/>
      <c r="J425" s="1"/>
      <c r="K425" s="1"/>
      <c r="L425" s="1"/>
      <c r="M425" s="1"/>
      <c r="N425" s="141"/>
      <c r="O425" s="1"/>
      <c r="P425" s="1"/>
      <c r="Q425" s="141"/>
    </row>
    <row r="426" ht="15.75" customHeight="1">
      <c r="C426" s="96"/>
      <c r="D426" s="96"/>
      <c r="E426" s="140"/>
      <c r="F426" s="96"/>
      <c r="G426" s="96"/>
      <c r="H426" s="1"/>
      <c r="I426" s="1"/>
      <c r="J426" s="1"/>
      <c r="K426" s="1"/>
      <c r="L426" s="1"/>
      <c r="M426" s="1"/>
      <c r="N426" s="141"/>
      <c r="O426" s="1"/>
      <c r="P426" s="1"/>
      <c r="Q426" s="141"/>
    </row>
    <row r="427" ht="15.75" customHeight="1">
      <c r="C427" s="96"/>
      <c r="D427" s="96"/>
      <c r="E427" s="140"/>
      <c r="F427" s="96"/>
      <c r="G427" s="96"/>
      <c r="H427" s="1"/>
      <c r="I427" s="1"/>
      <c r="J427" s="1"/>
      <c r="K427" s="1"/>
      <c r="L427" s="1"/>
      <c r="M427" s="1"/>
      <c r="N427" s="141"/>
      <c r="O427" s="1"/>
      <c r="P427" s="1"/>
      <c r="Q427" s="141"/>
    </row>
    <row r="428" ht="15.75" customHeight="1">
      <c r="C428" s="96"/>
      <c r="D428" s="96"/>
      <c r="E428" s="140"/>
      <c r="F428" s="96"/>
      <c r="G428" s="96"/>
      <c r="H428" s="1"/>
      <c r="I428" s="1"/>
      <c r="J428" s="1"/>
      <c r="K428" s="1"/>
      <c r="L428" s="1"/>
      <c r="M428" s="1"/>
      <c r="N428" s="141"/>
      <c r="O428" s="1"/>
      <c r="P428" s="1"/>
      <c r="Q428" s="141"/>
    </row>
    <row r="429" ht="15.75" customHeight="1">
      <c r="C429" s="96"/>
      <c r="D429" s="96"/>
      <c r="E429" s="140"/>
      <c r="F429" s="96"/>
      <c r="G429" s="96"/>
      <c r="H429" s="1"/>
      <c r="I429" s="1"/>
      <c r="J429" s="1"/>
      <c r="K429" s="1"/>
      <c r="L429" s="1"/>
      <c r="M429" s="1"/>
      <c r="N429" s="141"/>
      <c r="O429" s="1"/>
      <c r="P429" s="1"/>
      <c r="Q429" s="141"/>
    </row>
    <row r="430" ht="15.75" customHeight="1">
      <c r="C430" s="96"/>
      <c r="D430" s="96"/>
      <c r="E430" s="140"/>
      <c r="F430" s="96"/>
      <c r="G430" s="96"/>
      <c r="H430" s="1"/>
      <c r="I430" s="1"/>
      <c r="J430" s="1"/>
      <c r="K430" s="1"/>
      <c r="L430" s="1"/>
      <c r="M430" s="1"/>
      <c r="N430" s="141"/>
      <c r="O430" s="1"/>
      <c r="P430" s="1"/>
      <c r="Q430" s="141"/>
    </row>
    <row r="431" ht="15.75" customHeight="1">
      <c r="C431" s="96"/>
      <c r="D431" s="96"/>
      <c r="E431" s="140"/>
      <c r="F431" s="96"/>
      <c r="G431" s="96"/>
      <c r="H431" s="1"/>
      <c r="I431" s="1"/>
      <c r="J431" s="1"/>
      <c r="K431" s="1"/>
      <c r="L431" s="1"/>
      <c r="M431" s="1"/>
      <c r="N431" s="141"/>
      <c r="O431" s="1"/>
      <c r="P431" s="1"/>
      <c r="Q431" s="141"/>
    </row>
    <row r="432" ht="15.75" customHeight="1">
      <c r="C432" s="96"/>
      <c r="D432" s="96"/>
      <c r="E432" s="140"/>
      <c r="F432" s="96"/>
      <c r="G432" s="96"/>
      <c r="H432" s="1"/>
      <c r="I432" s="1"/>
      <c r="J432" s="1"/>
      <c r="K432" s="1"/>
      <c r="L432" s="1"/>
      <c r="M432" s="1"/>
      <c r="N432" s="141"/>
      <c r="O432" s="1"/>
      <c r="P432" s="1"/>
      <c r="Q432" s="141"/>
    </row>
    <row r="433" ht="15.75" customHeight="1">
      <c r="C433" s="96"/>
      <c r="D433" s="96"/>
      <c r="E433" s="140"/>
      <c r="F433" s="96"/>
      <c r="G433" s="96"/>
      <c r="H433" s="1"/>
      <c r="I433" s="1"/>
      <c r="J433" s="1"/>
      <c r="K433" s="1"/>
      <c r="L433" s="1"/>
      <c r="M433" s="1"/>
      <c r="N433" s="141"/>
      <c r="O433" s="1"/>
      <c r="P433" s="1"/>
      <c r="Q433" s="141"/>
    </row>
    <row r="434" ht="15.75" customHeight="1">
      <c r="C434" s="96"/>
      <c r="D434" s="96"/>
      <c r="E434" s="140"/>
      <c r="F434" s="96"/>
      <c r="G434" s="96"/>
      <c r="H434" s="1"/>
      <c r="I434" s="1"/>
      <c r="J434" s="1"/>
      <c r="K434" s="1"/>
      <c r="L434" s="1"/>
      <c r="M434" s="1"/>
      <c r="N434" s="141"/>
      <c r="O434" s="1"/>
      <c r="P434" s="1"/>
      <c r="Q434" s="141"/>
    </row>
    <row r="435" ht="15.75" customHeight="1">
      <c r="C435" s="96"/>
      <c r="D435" s="96"/>
      <c r="E435" s="140"/>
      <c r="F435" s="96"/>
      <c r="G435" s="96"/>
      <c r="H435" s="1"/>
      <c r="I435" s="1"/>
      <c r="J435" s="1"/>
      <c r="K435" s="1"/>
      <c r="L435" s="1"/>
      <c r="M435" s="1"/>
      <c r="N435" s="141"/>
      <c r="O435" s="1"/>
      <c r="P435" s="1"/>
      <c r="Q435" s="141"/>
    </row>
    <row r="436" ht="15.75" customHeight="1">
      <c r="C436" s="96"/>
      <c r="D436" s="96"/>
      <c r="E436" s="140"/>
      <c r="F436" s="96"/>
      <c r="G436" s="96"/>
      <c r="H436" s="1"/>
      <c r="I436" s="1"/>
      <c r="J436" s="1"/>
      <c r="K436" s="1"/>
      <c r="L436" s="1"/>
      <c r="M436" s="1"/>
      <c r="N436" s="141"/>
      <c r="O436" s="1"/>
      <c r="P436" s="1"/>
      <c r="Q436" s="141"/>
    </row>
    <row r="437" ht="15.75" customHeight="1">
      <c r="C437" s="96"/>
      <c r="D437" s="96"/>
      <c r="E437" s="140"/>
      <c r="F437" s="96"/>
      <c r="G437" s="96"/>
      <c r="H437" s="1"/>
      <c r="I437" s="1"/>
      <c r="J437" s="1"/>
      <c r="K437" s="1"/>
      <c r="L437" s="1"/>
      <c r="M437" s="1"/>
      <c r="N437" s="141"/>
      <c r="O437" s="1"/>
      <c r="P437" s="1"/>
      <c r="Q437" s="141"/>
    </row>
    <row r="438" ht="15.75" customHeight="1">
      <c r="C438" s="96"/>
      <c r="D438" s="96"/>
      <c r="E438" s="140"/>
      <c r="F438" s="96"/>
      <c r="G438" s="96"/>
      <c r="H438" s="1"/>
      <c r="I438" s="1"/>
      <c r="J438" s="1"/>
      <c r="K438" s="1"/>
      <c r="L438" s="1"/>
      <c r="M438" s="1"/>
      <c r="N438" s="141"/>
      <c r="O438" s="1"/>
      <c r="P438" s="1"/>
      <c r="Q438" s="141"/>
    </row>
    <row r="439" ht="15.75" customHeight="1">
      <c r="C439" s="96"/>
      <c r="D439" s="96"/>
      <c r="E439" s="140"/>
      <c r="F439" s="96"/>
      <c r="G439" s="96"/>
      <c r="H439" s="1"/>
      <c r="I439" s="1"/>
      <c r="J439" s="1"/>
      <c r="K439" s="1"/>
      <c r="L439" s="1"/>
      <c r="M439" s="1"/>
      <c r="N439" s="141"/>
      <c r="O439" s="1"/>
      <c r="P439" s="1"/>
      <c r="Q439" s="141"/>
    </row>
    <row r="440" ht="15.75" customHeight="1">
      <c r="C440" s="96"/>
      <c r="D440" s="96"/>
      <c r="E440" s="140"/>
      <c r="F440" s="96"/>
      <c r="G440" s="96"/>
      <c r="H440" s="1"/>
      <c r="I440" s="1"/>
      <c r="J440" s="1"/>
      <c r="K440" s="1"/>
      <c r="L440" s="1"/>
      <c r="M440" s="1"/>
      <c r="N440" s="141"/>
      <c r="O440" s="1"/>
      <c r="P440" s="1"/>
      <c r="Q440" s="141"/>
    </row>
    <row r="441" ht="15.75" customHeight="1">
      <c r="C441" s="96"/>
      <c r="D441" s="96"/>
      <c r="E441" s="140"/>
      <c r="F441" s="96"/>
      <c r="G441" s="96"/>
      <c r="H441" s="1"/>
      <c r="I441" s="1"/>
      <c r="J441" s="1"/>
      <c r="K441" s="1"/>
      <c r="L441" s="1"/>
      <c r="M441" s="1"/>
      <c r="N441" s="141"/>
      <c r="O441" s="1"/>
      <c r="P441" s="1"/>
      <c r="Q441" s="141"/>
    </row>
    <row r="442" ht="15.75" customHeight="1">
      <c r="C442" s="96"/>
      <c r="D442" s="96"/>
      <c r="E442" s="140"/>
      <c r="F442" s="96"/>
      <c r="G442" s="96"/>
      <c r="H442" s="1"/>
      <c r="I442" s="1"/>
      <c r="J442" s="1"/>
      <c r="K442" s="1"/>
      <c r="L442" s="1"/>
      <c r="M442" s="1"/>
      <c r="N442" s="141"/>
      <c r="O442" s="1"/>
      <c r="P442" s="1"/>
      <c r="Q442" s="141"/>
    </row>
    <row r="443" ht="15.75" customHeight="1">
      <c r="C443" s="96"/>
      <c r="D443" s="96"/>
      <c r="E443" s="140"/>
      <c r="F443" s="96"/>
      <c r="G443" s="96"/>
      <c r="H443" s="1"/>
      <c r="I443" s="1"/>
      <c r="J443" s="1"/>
      <c r="K443" s="1"/>
      <c r="L443" s="1"/>
      <c r="M443" s="1"/>
      <c r="N443" s="141"/>
      <c r="O443" s="1"/>
      <c r="P443" s="1"/>
      <c r="Q443" s="141"/>
    </row>
    <row r="444" ht="15.75" customHeight="1">
      <c r="C444" s="96"/>
      <c r="D444" s="96"/>
      <c r="E444" s="140"/>
      <c r="F444" s="96"/>
      <c r="G444" s="96"/>
      <c r="H444" s="1"/>
      <c r="I444" s="1"/>
      <c r="J444" s="1"/>
      <c r="K444" s="1"/>
      <c r="L444" s="1"/>
      <c r="M444" s="1"/>
      <c r="N444" s="141"/>
      <c r="O444" s="1"/>
      <c r="P444" s="1"/>
      <c r="Q444" s="141"/>
    </row>
    <row r="445" ht="15.75" customHeight="1">
      <c r="C445" s="96"/>
      <c r="D445" s="96"/>
      <c r="E445" s="140"/>
      <c r="F445" s="96"/>
      <c r="G445" s="96"/>
      <c r="H445" s="1"/>
      <c r="I445" s="1"/>
      <c r="J445" s="1"/>
      <c r="K445" s="1"/>
      <c r="L445" s="1"/>
      <c r="M445" s="1"/>
      <c r="N445" s="141"/>
      <c r="O445" s="1"/>
      <c r="P445" s="1"/>
      <c r="Q445" s="141"/>
    </row>
    <row r="446" ht="15.75" customHeight="1">
      <c r="C446" s="96"/>
      <c r="D446" s="96"/>
      <c r="E446" s="140"/>
      <c r="F446" s="96"/>
      <c r="G446" s="96"/>
      <c r="H446" s="1"/>
      <c r="I446" s="1"/>
      <c r="J446" s="1"/>
      <c r="K446" s="1"/>
      <c r="L446" s="1"/>
      <c r="M446" s="1"/>
      <c r="N446" s="141"/>
      <c r="O446" s="1"/>
      <c r="P446" s="1"/>
      <c r="Q446" s="141"/>
    </row>
    <row r="447" ht="15.75" customHeight="1">
      <c r="C447" s="96"/>
      <c r="D447" s="96"/>
      <c r="E447" s="140"/>
      <c r="F447" s="96"/>
      <c r="G447" s="96"/>
      <c r="H447" s="1"/>
      <c r="I447" s="1"/>
      <c r="J447" s="1"/>
      <c r="K447" s="1"/>
      <c r="L447" s="1"/>
      <c r="M447" s="1"/>
      <c r="N447" s="141"/>
      <c r="O447" s="1"/>
      <c r="P447" s="1"/>
      <c r="Q447" s="141"/>
    </row>
    <row r="448" ht="15.75" customHeight="1">
      <c r="C448" s="96"/>
      <c r="D448" s="96"/>
      <c r="E448" s="140"/>
      <c r="F448" s="96"/>
      <c r="G448" s="96"/>
      <c r="H448" s="1"/>
      <c r="I448" s="1"/>
      <c r="J448" s="1"/>
      <c r="K448" s="1"/>
      <c r="L448" s="1"/>
      <c r="M448" s="1"/>
      <c r="N448" s="141"/>
      <c r="O448" s="1"/>
      <c r="P448" s="1"/>
      <c r="Q448" s="141"/>
    </row>
    <row r="449" ht="15.75" customHeight="1">
      <c r="C449" s="96"/>
      <c r="D449" s="96"/>
      <c r="E449" s="140"/>
      <c r="F449" s="96"/>
      <c r="G449" s="96"/>
      <c r="H449" s="1"/>
      <c r="I449" s="1"/>
      <c r="J449" s="1"/>
      <c r="K449" s="1"/>
      <c r="L449" s="1"/>
      <c r="M449" s="1"/>
      <c r="N449" s="141"/>
      <c r="O449" s="1"/>
      <c r="P449" s="1"/>
      <c r="Q449" s="141"/>
    </row>
    <row r="450" ht="15.75" customHeight="1">
      <c r="C450" s="96"/>
      <c r="D450" s="96"/>
      <c r="E450" s="140"/>
      <c r="F450" s="96"/>
      <c r="G450" s="96"/>
      <c r="H450" s="1"/>
      <c r="I450" s="1"/>
      <c r="J450" s="1"/>
      <c r="K450" s="1"/>
      <c r="L450" s="1"/>
      <c r="M450" s="1"/>
      <c r="N450" s="141"/>
      <c r="O450" s="1"/>
      <c r="P450" s="1"/>
      <c r="Q450" s="141"/>
    </row>
    <row r="451" ht="15.75" customHeight="1">
      <c r="C451" s="96"/>
      <c r="D451" s="96"/>
      <c r="E451" s="140"/>
      <c r="F451" s="96"/>
      <c r="G451" s="96"/>
      <c r="H451" s="1"/>
      <c r="I451" s="1"/>
      <c r="J451" s="1"/>
      <c r="K451" s="1"/>
      <c r="L451" s="1"/>
      <c r="M451" s="1"/>
      <c r="N451" s="141"/>
      <c r="O451" s="1"/>
      <c r="P451" s="1"/>
      <c r="Q451" s="141"/>
    </row>
    <row r="452" ht="15.75" customHeight="1">
      <c r="C452" s="96"/>
      <c r="D452" s="96"/>
      <c r="E452" s="140"/>
      <c r="F452" s="96"/>
      <c r="G452" s="96"/>
      <c r="H452" s="1"/>
      <c r="I452" s="1"/>
      <c r="J452" s="1"/>
      <c r="K452" s="1"/>
      <c r="L452" s="1"/>
      <c r="M452" s="1"/>
      <c r="N452" s="141"/>
      <c r="O452" s="1"/>
      <c r="P452" s="1"/>
      <c r="Q452" s="141"/>
    </row>
    <row r="453" ht="15.75" customHeight="1">
      <c r="C453" s="96"/>
      <c r="D453" s="96"/>
      <c r="E453" s="140"/>
      <c r="F453" s="96"/>
      <c r="G453" s="96"/>
      <c r="H453" s="1"/>
      <c r="I453" s="1"/>
      <c r="J453" s="1"/>
      <c r="K453" s="1"/>
      <c r="L453" s="1"/>
      <c r="M453" s="1"/>
      <c r="N453" s="141"/>
      <c r="O453" s="1"/>
      <c r="P453" s="1"/>
      <c r="Q453" s="141"/>
    </row>
    <row r="454" ht="15.75" customHeight="1">
      <c r="C454" s="96"/>
      <c r="D454" s="96"/>
      <c r="E454" s="140"/>
      <c r="F454" s="96"/>
      <c r="G454" s="96"/>
      <c r="H454" s="1"/>
      <c r="I454" s="1"/>
      <c r="J454" s="1"/>
      <c r="K454" s="1"/>
      <c r="L454" s="1"/>
      <c r="M454" s="1"/>
      <c r="N454" s="141"/>
      <c r="O454" s="1"/>
      <c r="P454" s="1"/>
      <c r="Q454" s="141"/>
    </row>
    <row r="455" ht="15.75" customHeight="1">
      <c r="C455" s="96"/>
      <c r="D455" s="96"/>
      <c r="E455" s="140"/>
      <c r="F455" s="96"/>
      <c r="G455" s="96"/>
      <c r="H455" s="1"/>
      <c r="I455" s="1"/>
      <c r="J455" s="1"/>
      <c r="K455" s="1"/>
      <c r="L455" s="1"/>
      <c r="M455" s="1"/>
      <c r="N455" s="141"/>
      <c r="O455" s="1"/>
      <c r="P455" s="1"/>
      <c r="Q455" s="141"/>
    </row>
    <row r="456" ht="15.75" customHeight="1">
      <c r="C456" s="96"/>
      <c r="D456" s="96"/>
      <c r="E456" s="140"/>
      <c r="F456" s="96"/>
      <c r="G456" s="96"/>
      <c r="H456" s="1"/>
      <c r="I456" s="1"/>
      <c r="J456" s="1"/>
      <c r="K456" s="1"/>
      <c r="L456" s="1"/>
      <c r="M456" s="1"/>
      <c r="N456" s="141"/>
      <c r="O456" s="1"/>
      <c r="P456" s="1"/>
      <c r="Q456" s="141"/>
    </row>
    <row r="457" ht="15.75" customHeight="1">
      <c r="C457" s="96"/>
      <c r="D457" s="96"/>
      <c r="E457" s="140"/>
      <c r="F457" s="96"/>
      <c r="G457" s="96"/>
      <c r="H457" s="1"/>
      <c r="I457" s="1"/>
      <c r="J457" s="1"/>
      <c r="K457" s="1"/>
      <c r="L457" s="1"/>
      <c r="M457" s="1"/>
      <c r="N457" s="141"/>
      <c r="O457" s="1"/>
      <c r="P457" s="1"/>
      <c r="Q457" s="141"/>
    </row>
    <row r="458" ht="15.75" customHeight="1">
      <c r="C458" s="96"/>
      <c r="D458" s="96"/>
      <c r="E458" s="140"/>
      <c r="F458" s="96"/>
      <c r="G458" s="96"/>
      <c r="H458" s="1"/>
      <c r="I458" s="1"/>
      <c r="J458" s="1"/>
      <c r="K458" s="1"/>
      <c r="L458" s="1"/>
      <c r="M458" s="1"/>
      <c r="N458" s="141"/>
      <c r="O458" s="1"/>
      <c r="P458" s="1"/>
      <c r="Q458" s="141"/>
    </row>
    <row r="459" ht="15.75" customHeight="1">
      <c r="C459" s="96"/>
      <c r="D459" s="96"/>
      <c r="E459" s="140"/>
      <c r="F459" s="96"/>
      <c r="G459" s="96"/>
      <c r="H459" s="1"/>
      <c r="I459" s="1"/>
      <c r="J459" s="1"/>
      <c r="K459" s="1"/>
      <c r="L459" s="1"/>
      <c r="M459" s="1"/>
      <c r="N459" s="141"/>
      <c r="O459" s="1"/>
      <c r="P459" s="1"/>
      <c r="Q459" s="141"/>
    </row>
    <row r="460" ht="15.75" customHeight="1">
      <c r="C460" s="96"/>
      <c r="D460" s="96"/>
      <c r="E460" s="140"/>
      <c r="F460" s="96"/>
      <c r="G460" s="96"/>
      <c r="H460" s="1"/>
      <c r="I460" s="1"/>
      <c r="J460" s="1"/>
      <c r="K460" s="1"/>
      <c r="L460" s="1"/>
      <c r="M460" s="1"/>
      <c r="N460" s="141"/>
      <c r="O460" s="1"/>
      <c r="P460" s="1"/>
      <c r="Q460" s="141"/>
    </row>
    <row r="461" ht="15.75" customHeight="1">
      <c r="C461" s="96"/>
      <c r="D461" s="96"/>
      <c r="E461" s="140"/>
      <c r="F461" s="96"/>
      <c r="G461" s="96"/>
      <c r="H461" s="1"/>
      <c r="I461" s="1"/>
      <c r="J461" s="1"/>
      <c r="K461" s="1"/>
      <c r="L461" s="1"/>
      <c r="M461" s="1"/>
      <c r="N461" s="141"/>
      <c r="O461" s="1"/>
      <c r="P461" s="1"/>
      <c r="Q461" s="141"/>
    </row>
    <row r="462" ht="15.75" customHeight="1">
      <c r="C462" s="96"/>
      <c r="D462" s="96"/>
      <c r="E462" s="140"/>
      <c r="F462" s="96"/>
      <c r="G462" s="96"/>
      <c r="H462" s="1"/>
      <c r="I462" s="1"/>
      <c r="J462" s="1"/>
      <c r="K462" s="1"/>
      <c r="L462" s="1"/>
      <c r="M462" s="1"/>
      <c r="N462" s="141"/>
      <c r="O462" s="1"/>
      <c r="P462" s="1"/>
      <c r="Q462" s="141"/>
    </row>
    <row r="463" ht="15.75" customHeight="1">
      <c r="C463" s="96"/>
      <c r="D463" s="96"/>
      <c r="E463" s="140"/>
      <c r="F463" s="96"/>
      <c r="G463" s="96"/>
      <c r="H463" s="1"/>
      <c r="I463" s="1"/>
      <c r="J463" s="1"/>
      <c r="K463" s="1"/>
      <c r="L463" s="1"/>
      <c r="M463" s="1"/>
      <c r="N463" s="141"/>
      <c r="O463" s="1"/>
      <c r="P463" s="1"/>
      <c r="Q463" s="141"/>
    </row>
    <row r="464" ht="15.75" customHeight="1">
      <c r="C464" s="96"/>
      <c r="D464" s="96"/>
      <c r="E464" s="140"/>
      <c r="F464" s="96"/>
      <c r="G464" s="96"/>
      <c r="H464" s="1"/>
      <c r="I464" s="1"/>
      <c r="J464" s="1"/>
      <c r="K464" s="1"/>
      <c r="L464" s="1"/>
      <c r="M464" s="1"/>
      <c r="N464" s="141"/>
      <c r="O464" s="1"/>
      <c r="P464" s="1"/>
      <c r="Q464" s="141"/>
    </row>
    <row r="465" ht="15.75" customHeight="1">
      <c r="C465" s="96"/>
      <c r="D465" s="96"/>
      <c r="E465" s="140"/>
      <c r="F465" s="96"/>
      <c r="G465" s="96"/>
      <c r="H465" s="1"/>
      <c r="I465" s="1"/>
      <c r="J465" s="1"/>
      <c r="K465" s="1"/>
      <c r="L465" s="1"/>
      <c r="M465" s="1"/>
      <c r="N465" s="141"/>
      <c r="O465" s="1"/>
      <c r="P465" s="1"/>
      <c r="Q465" s="141"/>
    </row>
    <row r="466" ht="15.75" customHeight="1">
      <c r="C466" s="96"/>
      <c r="D466" s="96"/>
      <c r="E466" s="140"/>
      <c r="F466" s="96"/>
      <c r="G466" s="96"/>
      <c r="H466" s="1"/>
      <c r="I466" s="1"/>
      <c r="J466" s="1"/>
      <c r="K466" s="1"/>
      <c r="L466" s="1"/>
      <c r="M466" s="1"/>
      <c r="N466" s="141"/>
      <c r="O466" s="1"/>
      <c r="P466" s="1"/>
      <c r="Q466" s="141"/>
    </row>
    <row r="467" ht="15.75" customHeight="1">
      <c r="C467" s="96"/>
      <c r="D467" s="96"/>
      <c r="E467" s="140"/>
      <c r="F467" s="96"/>
      <c r="G467" s="96"/>
      <c r="H467" s="1"/>
      <c r="I467" s="1"/>
      <c r="J467" s="1"/>
      <c r="K467" s="1"/>
      <c r="L467" s="1"/>
      <c r="M467" s="1"/>
      <c r="N467" s="141"/>
      <c r="O467" s="1"/>
      <c r="P467" s="1"/>
      <c r="Q467" s="141"/>
    </row>
    <row r="468" ht="15.75" customHeight="1">
      <c r="C468" s="96"/>
      <c r="D468" s="96"/>
      <c r="E468" s="140"/>
      <c r="F468" s="96"/>
      <c r="G468" s="96"/>
      <c r="H468" s="1"/>
      <c r="I468" s="1"/>
      <c r="J468" s="1"/>
      <c r="K468" s="1"/>
      <c r="L468" s="1"/>
      <c r="M468" s="1"/>
      <c r="N468" s="141"/>
      <c r="O468" s="1"/>
      <c r="P468" s="1"/>
      <c r="Q468" s="141"/>
    </row>
    <row r="469" ht="15.75" customHeight="1">
      <c r="C469" s="96"/>
      <c r="D469" s="96"/>
      <c r="E469" s="140"/>
      <c r="F469" s="96"/>
      <c r="G469" s="96"/>
      <c r="H469" s="1"/>
      <c r="I469" s="1"/>
      <c r="J469" s="1"/>
      <c r="K469" s="1"/>
      <c r="L469" s="1"/>
      <c r="M469" s="1"/>
      <c r="N469" s="141"/>
      <c r="O469" s="1"/>
      <c r="P469" s="1"/>
      <c r="Q469" s="141"/>
    </row>
    <row r="470" ht="15.75" customHeight="1">
      <c r="C470" s="96"/>
      <c r="D470" s="96"/>
      <c r="E470" s="140"/>
      <c r="F470" s="96"/>
      <c r="G470" s="96"/>
      <c r="H470" s="1"/>
      <c r="I470" s="1"/>
      <c r="J470" s="1"/>
      <c r="K470" s="1"/>
      <c r="L470" s="1"/>
      <c r="M470" s="1"/>
      <c r="N470" s="141"/>
      <c r="O470" s="1"/>
      <c r="P470" s="1"/>
      <c r="Q470" s="141"/>
    </row>
    <row r="471" ht="15.75" customHeight="1">
      <c r="C471" s="96"/>
      <c r="D471" s="96"/>
      <c r="E471" s="140"/>
      <c r="F471" s="96"/>
      <c r="G471" s="96"/>
      <c r="H471" s="1"/>
      <c r="I471" s="1"/>
      <c r="J471" s="1"/>
      <c r="K471" s="1"/>
      <c r="L471" s="1"/>
      <c r="M471" s="1"/>
      <c r="N471" s="141"/>
      <c r="O471" s="1"/>
      <c r="P471" s="1"/>
      <c r="Q471" s="141"/>
    </row>
    <row r="472" ht="15.75" customHeight="1">
      <c r="C472" s="96"/>
      <c r="D472" s="96"/>
      <c r="E472" s="140"/>
      <c r="F472" s="96"/>
      <c r="G472" s="96"/>
      <c r="H472" s="1"/>
      <c r="I472" s="1"/>
      <c r="J472" s="1"/>
      <c r="K472" s="1"/>
      <c r="L472" s="1"/>
      <c r="M472" s="1"/>
      <c r="N472" s="141"/>
      <c r="O472" s="1"/>
      <c r="P472" s="1"/>
      <c r="Q472" s="141"/>
    </row>
    <row r="473" ht="15.75" customHeight="1">
      <c r="C473" s="96"/>
      <c r="D473" s="96"/>
      <c r="E473" s="140"/>
      <c r="F473" s="96"/>
      <c r="G473" s="96"/>
      <c r="H473" s="1"/>
      <c r="I473" s="1"/>
      <c r="J473" s="1"/>
      <c r="K473" s="1"/>
      <c r="L473" s="1"/>
      <c r="M473" s="1"/>
      <c r="N473" s="141"/>
      <c r="O473" s="1"/>
      <c r="P473" s="1"/>
      <c r="Q473" s="141"/>
    </row>
    <row r="474" ht="15.75" customHeight="1">
      <c r="C474" s="96"/>
      <c r="D474" s="96"/>
      <c r="E474" s="140"/>
      <c r="F474" s="96"/>
      <c r="G474" s="96"/>
      <c r="H474" s="1"/>
      <c r="I474" s="1"/>
      <c r="J474" s="1"/>
      <c r="K474" s="1"/>
      <c r="L474" s="1"/>
      <c r="M474" s="1"/>
      <c r="N474" s="141"/>
      <c r="O474" s="1"/>
      <c r="P474" s="1"/>
      <c r="Q474" s="141"/>
    </row>
    <row r="475" ht="15.75" customHeight="1">
      <c r="C475" s="96"/>
      <c r="D475" s="96"/>
      <c r="E475" s="140"/>
      <c r="F475" s="96"/>
      <c r="G475" s="96"/>
      <c r="H475" s="1"/>
      <c r="I475" s="1"/>
      <c r="J475" s="1"/>
      <c r="K475" s="1"/>
      <c r="L475" s="1"/>
      <c r="M475" s="1"/>
      <c r="N475" s="141"/>
      <c r="O475" s="1"/>
      <c r="P475" s="1"/>
      <c r="Q475" s="141"/>
    </row>
    <row r="476" ht="15.75" customHeight="1">
      <c r="C476" s="96"/>
      <c r="D476" s="96"/>
      <c r="E476" s="140"/>
      <c r="F476" s="96"/>
      <c r="G476" s="96"/>
      <c r="H476" s="1"/>
      <c r="I476" s="1"/>
      <c r="J476" s="1"/>
      <c r="K476" s="1"/>
      <c r="L476" s="1"/>
      <c r="M476" s="1"/>
      <c r="N476" s="141"/>
      <c r="O476" s="1"/>
      <c r="P476" s="1"/>
      <c r="Q476" s="141"/>
    </row>
    <row r="477" ht="15.75" customHeight="1">
      <c r="C477" s="96"/>
      <c r="D477" s="96"/>
      <c r="E477" s="140"/>
      <c r="F477" s="96"/>
      <c r="G477" s="96"/>
      <c r="H477" s="1"/>
      <c r="I477" s="1"/>
      <c r="J477" s="1"/>
      <c r="K477" s="1"/>
      <c r="L477" s="1"/>
      <c r="M477" s="1"/>
      <c r="N477" s="141"/>
      <c r="O477" s="1"/>
      <c r="P477" s="1"/>
      <c r="Q477" s="141"/>
    </row>
    <row r="478" ht="15.75" customHeight="1">
      <c r="C478" s="96"/>
      <c r="D478" s="96"/>
      <c r="E478" s="140"/>
      <c r="F478" s="96"/>
      <c r="G478" s="96"/>
      <c r="H478" s="1"/>
      <c r="I478" s="1"/>
      <c r="J478" s="1"/>
      <c r="K478" s="1"/>
      <c r="L478" s="1"/>
      <c r="M478" s="1"/>
      <c r="N478" s="141"/>
      <c r="O478" s="1"/>
      <c r="P478" s="1"/>
      <c r="Q478" s="141"/>
    </row>
    <row r="479" ht="15.75" customHeight="1">
      <c r="C479" s="96"/>
      <c r="D479" s="96"/>
      <c r="E479" s="140"/>
      <c r="F479" s="96"/>
      <c r="G479" s="96"/>
      <c r="H479" s="1"/>
      <c r="I479" s="1"/>
      <c r="J479" s="1"/>
      <c r="K479" s="1"/>
      <c r="L479" s="1"/>
      <c r="M479" s="1"/>
      <c r="N479" s="141"/>
      <c r="O479" s="1"/>
      <c r="P479" s="1"/>
      <c r="Q479" s="141"/>
    </row>
    <row r="480" ht="15.75" customHeight="1">
      <c r="C480" s="96"/>
      <c r="D480" s="96"/>
      <c r="E480" s="140"/>
      <c r="F480" s="96"/>
      <c r="G480" s="96"/>
      <c r="H480" s="1"/>
      <c r="I480" s="1"/>
      <c r="J480" s="1"/>
      <c r="K480" s="1"/>
      <c r="L480" s="1"/>
      <c r="M480" s="1"/>
      <c r="N480" s="141"/>
      <c r="O480" s="1"/>
      <c r="P480" s="1"/>
      <c r="Q480" s="141"/>
    </row>
    <row r="481" ht="15.75" customHeight="1">
      <c r="C481" s="96"/>
      <c r="D481" s="96"/>
      <c r="E481" s="140"/>
      <c r="F481" s="96"/>
      <c r="G481" s="96"/>
      <c r="H481" s="1"/>
      <c r="I481" s="1"/>
      <c r="J481" s="1"/>
      <c r="K481" s="1"/>
      <c r="L481" s="1"/>
      <c r="M481" s="1"/>
      <c r="N481" s="141"/>
      <c r="O481" s="1"/>
      <c r="P481" s="1"/>
      <c r="Q481" s="141"/>
    </row>
    <row r="482" ht="15.75" customHeight="1">
      <c r="C482" s="96"/>
      <c r="D482" s="96"/>
      <c r="E482" s="140"/>
      <c r="F482" s="96"/>
      <c r="G482" s="96"/>
      <c r="H482" s="1"/>
      <c r="I482" s="1"/>
      <c r="J482" s="1"/>
      <c r="K482" s="1"/>
      <c r="L482" s="1"/>
      <c r="M482" s="1"/>
      <c r="N482" s="141"/>
      <c r="O482" s="1"/>
      <c r="P482" s="1"/>
      <c r="Q482" s="141"/>
    </row>
    <row r="483" ht="15.75" customHeight="1">
      <c r="C483" s="96"/>
      <c r="D483" s="96"/>
      <c r="E483" s="140"/>
      <c r="F483" s="96"/>
      <c r="G483" s="96"/>
      <c r="H483" s="1"/>
      <c r="I483" s="1"/>
      <c r="J483" s="1"/>
      <c r="K483" s="1"/>
      <c r="L483" s="1"/>
      <c r="M483" s="1"/>
      <c r="N483" s="141"/>
      <c r="O483" s="1"/>
      <c r="P483" s="1"/>
      <c r="Q483" s="141"/>
    </row>
    <row r="484" ht="15.75" customHeight="1">
      <c r="C484" s="96"/>
      <c r="D484" s="96"/>
      <c r="E484" s="140"/>
      <c r="F484" s="96"/>
      <c r="G484" s="96"/>
      <c r="H484" s="1"/>
      <c r="I484" s="1"/>
      <c r="J484" s="1"/>
      <c r="K484" s="1"/>
      <c r="L484" s="1"/>
      <c r="M484" s="1"/>
      <c r="N484" s="141"/>
      <c r="O484" s="1"/>
      <c r="P484" s="1"/>
      <c r="Q484" s="141"/>
    </row>
    <row r="485" ht="15.75" customHeight="1">
      <c r="C485" s="96"/>
      <c r="D485" s="96"/>
      <c r="E485" s="140"/>
      <c r="F485" s="96"/>
      <c r="G485" s="96"/>
      <c r="H485" s="1"/>
      <c r="I485" s="1"/>
      <c r="J485" s="1"/>
      <c r="K485" s="1"/>
      <c r="L485" s="1"/>
      <c r="M485" s="1"/>
      <c r="N485" s="141"/>
      <c r="O485" s="1"/>
      <c r="P485" s="1"/>
      <c r="Q485" s="141"/>
    </row>
    <row r="486" ht="15.75" customHeight="1">
      <c r="C486" s="96"/>
      <c r="D486" s="96"/>
      <c r="E486" s="140"/>
      <c r="F486" s="96"/>
      <c r="G486" s="96"/>
      <c r="H486" s="1"/>
      <c r="I486" s="1"/>
      <c r="J486" s="1"/>
      <c r="K486" s="1"/>
      <c r="L486" s="1"/>
      <c r="M486" s="1"/>
      <c r="N486" s="141"/>
      <c r="O486" s="1"/>
      <c r="P486" s="1"/>
      <c r="Q486" s="141"/>
    </row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A3"/>
    <mergeCell ref="B1:B3"/>
    <mergeCell ref="C1:Q1"/>
    <mergeCell ref="C2:E2"/>
    <mergeCell ref="F2:H2"/>
    <mergeCell ref="I2:K2"/>
    <mergeCell ref="L2:N2"/>
    <mergeCell ref="O2:Q2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00400028-0067-4E84-B1E7-003A000500C6}">
            <xm:f>LEN(TRIM(E2))&gt;0</xm:f>
            <x14:dxf>
              <font/>
              <fill>
                <patternFill patternType="solid">
                  <fgColor rgb="FFB7E1CD"/>
                  <bgColor rgb="FFB7E1CD"/>
                </patternFill>
              </fill>
              <border>
                <left/>
                <right/>
                <top/>
                <bottom/>
                <diagonal/>
              </border>
            </x14:dxf>
          </x14:cfRule>
          <xm:sqref>E2:E1000 H2:H274 K2:K273 N4:N273 Q4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showRuler="1" zoomScale="100" workbookViewId="0">
      <pane xSplit="4" ySplit="3" topLeftCell="E4" activePane="bottomRight" state="frozen"/>
      <selection activeCell="E4" activeCellId="0" sqref="E4"/>
    </sheetView>
  </sheetViews>
  <sheetFormatPr defaultColWidth="12.630000000000001" defaultRowHeight="15" customHeight="1" outlineLevelRow="1" outlineLevelCol="1"/>
  <cols>
    <col customWidth="1" min="1" max="1" width="13.5"/>
    <col customWidth="1" min="2" max="2" width="13.25"/>
    <col customWidth="1" min="3" max="3" width="10.880000000000001"/>
    <col customWidth="1" min="4" max="5" width="14.630000000000001"/>
    <col customWidth="1" min="6" max="6" width="10.380000000000001"/>
    <col customWidth="1" hidden="1" min="7" max="7" outlineLevel="1" width="9.75"/>
    <col customWidth="1" hidden="1" min="8" max="9" outlineLevel="1" width="10.380000000000001"/>
    <col customWidth="1" min="10" max="10" width="9.1300000000000008"/>
    <col customWidth="1" hidden="1" min="11" max="11" outlineLevel="1" width="9.75"/>
    <col customWidth="1" hidden="1" min="12" max="13" outlineLevel="1" width="10.380000000000001"/>
    <col customWidth="1" min="14" max="14" width="9.8800000000000008"/>
    <col customWidth="1" hidden="1" min="15" max="15" outlineLevel="1" width="9.75"/>
    <col customWidth="1" hidden="1" min="16" max="17" outlineLevel="1" width="10.380000000000001"/>
    <col customWidth="1" min="18" max="18" width="11.130000000000001"/>
    <col customWidth="1" hidden="1" min="19" max="19" outlineLevel="1" width="9.75"/>
    <col customWidth="1" hidden="1" min="20" max="21" outlineLevel="1" width="10.380000000000001"/>
    <col customWidth="1" min="22" max="22" width="11.130000000000001"/>
    <col customWidth="1" hidden="1" min="23" max="25" outlineLevel="1" width="11.130000000000001"/>
    <col customWidth="1" min="26" max="26" width="11.130000000000001"/>
    <col customWidth="1" hidden="1" min="27" max="29" outlineLevel="1" width="11.130000000000001"/>
    <col customWidth="1" min="30" max="30" width="11.130000000000001"/>
    <col customWidth="1" hidden="1" min="31" max="32" outlineLevel="1" width="11.130000000000001"/>
    <col customWidth="1" min="33" max="33" outlineLevel="1" width="4.5"/>
    <col customWidth="1" min="34" max="34" width="11.130000000000001"/>
    <col customWidth="1" hidden="1" min="35" max="37" outlineLevel="1" width="11.130000000000001"/>
    <col customWidth="1" min="38" max="38" width="11.130000000000001"/>
    <col customWidth="1" hidden="1" min="39" max="41" outlineLevel="1" width="11.130000000000001"/>
    <col customWidth="1" min="42" max="42" width="11.130000000000001"/>
    <col customWidth="1" hidden="1" min="43" max="45" outlineLevel="1" width="11.130000000000001"/>
    <col customWidth="1" min="46" max="46" width="11.130000000000001"/>
    <col customWidth="1" hidden="1" min="47" max="49" outlineLevel="1" width="11.130000000000001"/>
    <col customWidth="1" min="50" max="50" width="11.130000000000001"/>
    <col customWidth="1" hidden="1" min="51" max="53" outlineLevel="1" width="11.130000000000001"/>
    <col customWidth="1" min="54" max="54" width="1"/>
    <col customWidth="1" min="55" max="55" width="11.130000000000001"/>
    <col customWidth="1" hidden="1" min="56" max="58" outlineLevel="1" width="11.130000000000001"/>
    <col customWidth="1" min="59" max="59" width="11.130000000000001"/>
    <col customWidth="1" hidden="1" min="60" max="62" outlineLevel="1" width="11.130000000000001"/>
    <col customWidth="1" min="63" max="63" width="11.130000000000001"/>
    <col customWidth="1" hidden="1" min="64" max="66" outlineLevel="1" width="11.130000000000001"/>
    <col customWidth="1" min="67" max="68" width="11.130000000000001"/>
  </cols>
  <sheetData>
    <row r="1" ht="15.75" customHeight="1">
      <c r="A1" s="146" t="s">
        <v>137</v>
      </c>
      <c r="B1" s="147" t="s">
        <v>209</v>
      </c>
      <c r="C1" s="146" t="s">
        <v>210</v>
      </c>
      <c r="D1" s="148" t="s">
        <v>211</v>
      </c>
      <c r="E1" s="148" t="s">
        <v>212</v>
      </c>
      <c r="F1" s="149" t="s">
        <v>213</v>
      </c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46"/>
      <c r="AV1" s="146"/>
      <c r="AW1" s="146"/>
      <c r="AX1" s="146"/>
      <c r="AY1" s="146"/>
      <c r="AZ1" s="146"/>
      <c r="BA1" s="146"/>
      <c r="BB1" s="151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8" t="s">
        <v>214</v>
      </c>
      <c r="BP1" s="148" t="s">
        <v>215</v>
      </c>
    </row>
    <row r="2" ht="15.75" customHeight="1">
      <c r="A2" s="78"/>
      <c r="B2" s="78"/>
      <c r="C2" s="78"/>
      <c r="D2" s="78"/>
      <c r="E2" s="78"/>
      <c r="F2" s="146" t="s">
        <v>216</v>
      </c>
      <c r="G2" s="78"/>
      <c r="H2" s="78"/>
      <c r="I2" s="78"/>
      <c r="J2" s="146" t="s">
        <v>217</v>
      </c>
      <c r="K2" s="78"/>
      <c r="L2" s="78"/>
      <c r="M2" s="78"/>
      <c r="N2" s="146" t="s">
        <v>218</v>
      </c>
      <c r="O2" s="78"/>
      <c r="P2" s="78"/>
      <c r="Q2" s="78"/>
      <c r="R2" s="146" t="s">
        <v>219</v>
      </c>
      <c r="S2" s="78"/>
      <c r="T2" s="78"/>
      <c r="U2" s="78"/>
      <c r="V2" s="146" t="s">
        <v>220</v>
      </c>
      <c r="W2" s="78"/>
      <c r="X2" s="78"/>
      <c r="Y2" s="78"/>
      <c r="Z2" s="146" t="s">
        <v>221</v>
      </c>
      <c r="AA2" s="78"/>
      <c r="AB2" s="78"/>
      <c r="AC2" s="78"/>
      <c r="AD2" s="146" t="s">
        <v>222</v>
      </c>
      <c r="AE2" s="78"/>
      <c r="AF2" s="78"/>
      <c r="AG2" s="78"/>
      <c r="AH2" s="146" t="s">
        <v>223</v>
      </c>
      <c r="AI2" s="78"/>
      <c r="AJ2" s="78"/>
      <c r="AK2" s="78"/>
      <c r="AL2" s="146" t="s">
        <v>224</v>
      </c>
      <c r="AM2" s="78"/>
      <c r="AN2" s="78"/>
      <c r="AO2" s="78"/>
      <c r="AP2" s="146" t="s">
        <v>225</v>
      </c>
      <c r="AQ2" s="78"/>
      <c r="AR2" s="78"/>
      <c r="AS2" s="78"/>
      <c r="AT2" s="146" t="s">
        <v>226</v>
      </c>
      <c r="AU2" s="78"/>
      <c r="AV2" s="78"/>
      <c r="AW2" s="78"/>
      <c r="AX2" s="146" t="s">
        <v>227</v>
      </c>
      <c r="AY2" s="78"/>
      <c r="AZ2" s="78"/>
      <c r="BA2" s="78"/>
      <c r="BB2" s="151"/>
      <c r="BC2" s="146" t="s">
        <v>228</v>
      </c>
      <c r="BD2" s="78"/>
      <c r="BE2" s="78"/>
      <c r="BF2" s="78"/>
      <c r="BG2" s="146" t="s">
        <v>229</v>
      </c>
      <c r="BH2" s="78"/>
      <c r="BI2" s="78"/>
      <c r="BJ2" s="78"/>
      <c r="BK2" s="146" t="s">
        <v>230</v>
      </c>
      <c r="BL2" s="146"/>
      <c r="BM2" s="146"/>
      <c r="BN2" s="146"/>
      <c r="BO2" s="78"/>
      <c r="BP2" s="78"/>
    </row>
    <row r="3" ht="15.75" customHeight="1">
      <c r="A3" s="78"/>
      <c r="B3" s="152"/>
      <c r="C3" s="78"/>
      <c r="D3" s="78"/>
      <c r="E3" s="78"/>
      <c r="F3" s="153" t="s">
        <v>231</v>
      </c>
      <c r="G3" s="154" t="s">
        <v>232</v>
      </c>
      <c r="H3" s="154" t="s">
        <v>233</v>
      </c>
      <c r="I3" s="154" t="s">
        <v>234</v>
      </c>
      <c r="J3" s="153" t="s">
        <v>231</v>
      </c>
      <c r="K3" s="154" t="s">
        <v>232</v>
      </c>
      <c r="L3" s="154" t="s">
        <v>233</v>
      </c>
      <c r="M3" s="154" t="s">
        <v>234</v>
      </c>
      <c r="N3" s="153" t="s">
        <v>231</v>
      </c>
      <c r="O3" s="154" t="s">
        <v>232</v>
      </c>
      <c r="P3" s="154" t="s">
        <v>233</v>
      </c>
      <c r="Q3" s="154" t="s">
        <v>234</v>
      </c>
      <c r="R3" s="153" t="s">
        <v>231</v>
      </c>
      <c r="S3" s="154" t="s">
        <v>232</v>
      </c>
      <c r="T3" s="154" t="s">
        <v>233</v>
      </c>
      <c r="U3" s="154" t="s">
        <v>234</v>
      </c>
      <c r="V3" s="153" t="s">
        <v>231</v>
      </c>
      <c r="W3" s="154" t="s">
        <v>232</v>
      </c>
      <c r="X3" s="154" t="s">
        <v>233</v>
      </c>
      <c r="Y3" s="154" t="s">
        <v>234</v>
      </c>
      <c r="Z3" s="153" t="s">
        <v>231</v>
      </c>
      <c r="AA3" s="154" t="s">
        <v>232</v>
      </c>
      <c r="AB3" s="154" t="s">
        <v>233</v>
      </c>
      <c r="AC3" s="154" t="s">
        <v>234</v>
      </c>
      <c r="AD3" s="153" t="s">
        <v>231</v>
      </c>
      <c r="AE3" s="154" t="s">
        <v>232</v>
      </c>
      <c r="AF3" s="154" t="s">
        <v>233</v>
      </c>
      <c r="AG3" s="154" t="s">
        <v>234</v>
      </c>
      <c r="AH3" s="153" t="s">
        <v>231</v>
      </c>
      <c r="AI3" s="154" t="s">
        <v>232</v>
      </c>
      <c r="AJ3" s="154" t="s">
        <v>233</v>
      </c>
      <c r="AK3" s="154" t="s">
        <v>234</v>
      </c>
      <c r="AL3" s="153" t="s">
        <v>231</v>
      </c>
      <c r="AM3" s="154" t="s">
        <v>232</v>
      </c>
      <c r="AN3" s="154" t="s">
        <v>233</v>
      </c>
      <c r="AO3" s="154" t="s">
        <v>234</v>
      </c>
      <c r="AP3" s="153" t="s">
        <v>231</v>
      </c>
      <c r="AQ3" s="154" t="s">
        <v>232</v>
      </c>
      <c r="AR3" s="154" t="s">
        <v>233</v>
      </c>
      <c r="AS3" s="154" t="s">
        <v>234</v>
      </c>
      <c r="AT3" s="153" t="s">
        <v>231</v>
      </c>
      <c r="AU3" s="154" t="s">
        <v>232</v>
      </c>
      <c r="AV3" s="154" t="s">
        <v>233</v>
      </c>
      <c r="AW3" s="154" t="s">
        <v>234</v>
      </c>
      <c r="AX3" s="153" t="s">
        <v>231</v>
      </c>
      <c r="AY3" s="154" t="s">
        <v>232</v>
      </c>
      <c r="AZ3" s="154" t="s">
        <v>233</v>
      </c>
      <c r="BA3" s="154" t="s">
        <v>234</v>
      </c>
      <c r="BB3" s="155"/>
      <c r="BC3" s="153" t="s">
        <v>231</v>
      </c>
      <c r="BD3" s="154" t="s">
        <v>232</v>
      </c>
      <c r="BE3" s="154" t="s">
        <v>233</v>
      </c>
      <c r="BF3" s="154" t="s">
        <v>234</v>
      </c>
      <c r="BG3" s="153" t="s">
        <v>231</v>
      </c>
      <c r="BH3" s="154" t="s">
        <v>232</v>
      </c>
      <c r="BI3" s="154" t="s">
        <v>233</v>
      </c>
      <c r="BJ3" s="154" t="s">
        <v>234</v>
      </c>
      <c r="BK3" s="153" t="s">
        <v>231</v>
      </c>
      <c r="BL3" s="154" t="s">
        <v>232</v>
      </c>
      <c r="BM3" s="154" t="s">
        <v>233</v>
      </c>
      <c r="BN3" s="154" t="s">
        <v>234</v>
      </c>
      <c r="BO3" s="78"/>
      <c r="BP3" s="78"/>
    </row>
    <row r="4" ht="15.75" customHeight="1">
      <c r="A4" s="156" t="s">
        <v>149</v>
      </c>
      <c r="B4" s="131"/>
      <c r="C4" s="132"/>
      <c r="D4" s="157"/>
      <c r="E4" s="157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9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</row>
    <row r="5" ht="15.75" customHeight="1" outlineLevel="1">
      <c r="A5" s="156"/>
      <c r="B5" s="160" t="s">
        <v>235</v>
      </c>
      <c r="C5" s="161" t="s">
        <v>236</v>
      </c>
      <c r="D5" s="162" t="s">
        <v>237</v>
      </c>
      <c r="E5" s="163">
        <v>50000</v>
      </c>
      <c r="F5" s="164"/>
      <c r="G5" s="164"/>
      <c r="H5" s="164"/>
      <c r="I5" s="164"/>
      <c r="J5" s="158">
        <f>SUM(K5:L5)</f>
        <v>19512.369999999999</v>
      </c>
      <c r="K5" s="158">
        <v>18947.369999999999</v>
      </c>
      <c r="L5" s="158">
        <v>565</v>
      </c>
      <c r="M5" s="158">
        <v>0</v>
      </c>
      <c r="N5" s="158">
        <f>SUM(O5:P5)</f>
        <v>40258</v>
      </c>
      <c r="O5" s="158">
        <v>40000</v>
      </c>
      <c r="P5" s="158">
        <v>258</v>
      </c>
      <c r="Q5" s="158">
        <v>0</v>
      </c>
      <c r="R5" s="158">
        <f>SUM(S5:T5)</f>
        <v>42690</v>
      </c>
      <c r="S5" s="158">
        <v>40000</v>
      </c>
      <c r="T5" s="158">
        <v>2690</v>
      </c>
      <c r="U5" s="158">
        <v>0</v>
      </c>
      <c r="V5" s="158">
        <f>SUM(W5:X5)</f>
        <v>49216.660000000003</v>
      </c>
      <c r="W5" s="158">
        <v>36666.660000000003</v>
      </c>
      <c r="X5" s="158">
        <v>12550</v>
      </c>
      <c r="Y5" s="158">
        <v>0</v>
      </c>
      <c r="Z5" s="165">
        <f>SUM(AA5:AB5)</f>
        <v>49275</v>
      </c>
      <c r="AA5" s="158">
        <v>35000</v>
      </c>
      <c r="AB5" s="158">
        <v>14275</v>
      </c>
      <c r="AC5" s="158">
        <v>0</v>
      </c>
      <c r="AD5" s="166">
        <f t="shared" ref="AD5:AD7" si="199">SUM(AE5:AF5)</f>
        <v>76355</v>
      </c>
      <c r="AE5" s="166">
        <v>50000</v>
      </c>
      <c r="AF5" s="166">
        <v>26355</v>
      </c>
      <c r="AG5" s="166">
        <v>0</v>
      </c>
      <c r="AH5" s="166">
        <f t="shared" ref="AH5:AH7" si="200">SUM(AI5:AK5)</f>
        <v>77023</v>
      </c>
      <c r="AI5" s="158">
        <v>50000</v>
      </c>
      <c r="AJ5" s="158">
        <v>27023</v>
      </c>
      <c r="AK5" s="158">
        <v>0</v>
      </c>
      <c r="AL5" s="166">
        <f t="shared" ref="AL5:AL7" si="201">SUM(AM5:AO5)</f>
        <v>103375</v>
      </c>
      <c r="AM5" s="158">
        <v>65000</v>
      </c>
      <c r="AN5" s="158">
        <v>38375</v>
      </c>
      <c r="AO5" s="158">
        <v>0</v>
      </c>
      <c r="AP5" s="166">
        <f t="shared" ref="AP5:AP7" si="202">SUM(AQ5:AS5)</f>
        <v>105389</v>
      </c>
      <c r="AQ5" s="166">
        <v>65000</v>
      </c>
      <c r="AR5" s="166">
        <v>40389</v>
      </c>
      <c r="AS5" s="166">
        <v>0</v>
      </c>
      <c r="AT5" s="166">
        <f t="shared" ref="AT5:AT7" si="203">SUM(AU5:AW5)</f>
        <v>128021</v>
      </c>
      <c r="AU5" s="166">
        <v>65000</v>
      </c>
      <c r="AV5" s="166">
        <v>63021</v>
      </c>
      <c r="AW5" s="166">
        <v>0</v>
      </c>
      <c r="AX5" s="166">
        <f t="shared" ref="AX5:AX7" si="204">SUM(AY5:BA5)</f>
        <v>203658.64000000001</v>
      </c>
      <c r="AY5" s="166">
        <v>65000</v>
      </c>
      <c r="AZ5" s="166">
        <v>115240</v>
      </c>
      <c r="BA5" s="166">
        <v>23418.639999999999</v>
      </c>
      <c r="BB5" s="166"/>
      <c r="BC5" s="166">
        <f t="shared" ref="BC5:BC7" si="205">SUM(BD5:BF5)</f>
        <v>109138.76000000001</v>
      </c>
      <c r="BD5" s="166">
        <v>44411.760000000002</v>
      </c>
      <c r="BE5" s="166">
        <v>64727</v>
      </c>
      <c r="BF5" s="166">
        <v>0</v>
      </c>
      <c r="BG5" s="166">
        <f t="shared" ref="BG5:BG7" si="206">SUM(BH5:BJ5)</f>
        <v>121309</v>
      </c>
      <c r="BH5" s="158">
        <v>65000</v>
      </c>
      <c r="BI5" s="158">
        <v>56309</v>
      </c>
      <c r="BJ5" s="158">
        <v>0</v>
      </c>
      <c r="BK5" s="158">
        <v>80000</v>
      </c>
      <c r="BL5" s="158"/>
      <c r="BM5" s="158"/>
      <c r="BN5" s="158"/>
      <c r="BO5" s="33">
        <f t="shared" ref="BO5:BO8" si="207">COUNT(AL5,AP5,AT5,AX5,BC5,BG5)</f>
        <v>6</v>
      </c>
      <c r="BP5" s="167">
        <f>IF(BO5&lt;6,E5-BK5,0)</f>
        <v>0</v>
      </c>
    </row>
    <row r="6" ht="15.75" customHeight="1" outlineLevel="1">
      <c r="A6" s="156"/>
      <c r="B6" s="160" t="s">
        <v>238</v>
      </c>
      <c r="C6" s="168"/>
      <c r="D6" s="168"/>
      <c r="E6" s="163">
        <v>50000</v>
      </c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58">
        <f t="shared" si="199"/>
        <v>42400</v>
      </c>
      <c r="AE6" s="158">
        <v>40000</v>
      </c>
      <c r="AF6" s="158">
        <v>2400</v>
      </c>
      <c r="AG6" s="158">
        <v>0</v>
      </c>
      <c r="AH6" s="158">
        <f t="shared" si="200"/>
        <v>51077</v>
      </c>
      <c r="AI6" s="158">
        <v>40000</v>
      </c>
      <c r="AJ6" s="158">
        <v>11077</v>
      </c>
      <c r="AK6" s="158">
        <v>0</v>
      </c>
      <c r="AL6" s="158">
        <f t="shared" si="201"/>
        <v>61167</v>
      </c>
      <c r="AM6" s="158">
        <v>40000</v>
      </c>
      <c r="AN6" s="158">
        <v>21167</v>
      </c>
      <c r="AO6" s="158">
        <v>0</v>
      </c>
      <c r="AP6" s="169">
        <f t="shared" si="202"/>
        <v>45897</v>
      </c>
      <c r="AQ6" s="11">
        <v>35000</v>
      </c>
      <c r="AR6" s="11">
        <v>10897</v>
      </c>
      <c r="AS6" s="11">
        <v>0</v>
      </c>
      <c r="AT6" s="166">
        <f t="shared" si="203"/>
        <v>70689</v>
      </c>
      <c r="AU6" s="166">
        <v>50000</v>
      </c>
      <c r="AV6" s="166">
        <v>20689</v>
      </c>
      <c r="AW6" s="166">
        <v>0</v>
      </c>
      <c r="AX6" s="166">
        <f t="shared" si="204"/>
        <v>83764</v>
      </c>
      <c r="AY6" s="158">
        <v>50000</v>
      </c>
      <c r="AZ6" s="158">
        <v>33764</v>
      </c>
      <c r="BA6" s="158">
        <v>0</v>
      </c>
      <c r="BB6" s="159"/>
      <c r="BC6" s="166">
        <f t="shared" si="205"/>
        <v>77236</v>
      </c>
      <c r="BD6" s="166">
        <v>50000</v>
      </c>
      <c r="BE6" s="166">
        <v>27236</v>
      </c>
      <c r="BF6" s="166">
        <v>0</v>
      </c>
      <c r="BG6" s="166">
        <f t="shared" si="206"/>
        <v>74103</v>
      </c>
      <c r="BH6" s="158">
        <v>50000</v>
      </c>
      <c r="BI6" s="158">
        <v>24103</v>
      </c>
      <c r="BJ6" s="158">
        <v>0</v>
      </c>
      <c r="BK6" s="158"/>
      <c r="BL6" s="158"/>
      <c r="BM6" s="158"/>
      <c r="BN6" s="158"/>
      <c r="BO6" s="26">
        <f t="shared" si="207"/>
        <v>6</v>
      </c>
    </row>
    <row r="7" ht="15.75" customHeight="1" outlineLevel="1">
      <c r="A7" s="156"/>
      <c r="B7" s="160" t="s">
        <v>239</v>
      </c>
      <c r="C7" s="168"/>
      <c r="D7" s="168"/>
      <c r="E7" s="163">
        <v>50000</v>
      </c>
      <c r="F7" s="164"/>
      <c r="G7" s="164"/>
      <c r="H7" s="164"/>
      <c r="I7" s="164"/>
      <c r="J7" s="158">
        <f t="shared" ref="J7:J8" si="208">SUM(K7:L7)</f>
        <v>38716.739999999998</v>
      </c>
      <c r="K7" s="158">
        <v>37894.739999999998</v>
      </c>
      <c r="L7" s="158">
        <v>822</v>
      </c>
      <c r="M7" s="158">
        <v>0</v>
      </c>
      <c r="N7" s="158">
        <f t="shared" ref="N7:N8" si="209">SUM(O7:P7)</f>
        <v>40097</v>
      </c>
      <c r="O7" s="158">
        <v>40000</v>
      </c>
      <c r="P7" s="158">
        <v>97</v>
      </c>
      <c r="Q7" s="158">
        <v>0</v>
      </c>
      <c r="R7" s="158">
        <f t="shared" ref="R7:R8" si="210">SUM(S7:T7)</f>
        <v>43920</v>
      </c>
      <c r="S7" s="158">
        <v>40000</v>
      </c>
      <c r="T7" s="158">
        <v>3920</v>
      </c>
      <c r="U7" s="158">
        <v>0</v>
      </c>
      <c r="V7" s="165">
        <f>SUM(W7:X7)</f>
        <v>45170</v>
      </c>
      <c r="W7" s="158">
        <v>35000</v>
      </c>
      <c r="X7" s="158">
        <v>10170</v>
      </c>
      <c r="Y7" s="158">
        <v>0</v>
      </c>
      <c r="Z7" s="158">
        <f t="shared" ref="Z7:Z8" si="211">SUM(AA7:AC7)</f>
        <v>61008.160000000003</v>
      </c>
      <c r="AA7" s="158">
        <v>35000</v>
      </c>
      <c r="AB7" s="158">
        <v>13394</v>
      </c>
      <c r="AC7" s="158">
        <v>12614.16</v>
      </c>
      <c r="AD7" s="158">
        <f t="shared" si="199"/>
        <v>50862.330000000002</v>
      </c>
      <c r="AE7" s="158">
        <f>15000+18333.33</f>
        <v>33333.330000000002</v>
      </c>
      <c r="AF7" s="158">
        <v>17529</v>
      </c>
      <c r="AG7" s="158">
        <v>0</v>
      </c>
      <c r="AH7" s="166">
        <f t="shared" si="200"/>
        <v>86672.779999999999</v>
      </c>
      <c r="AI7" s="166">
        <f>15000+30434.78</f>
        <v>45434.779999999999</v>
      </c>
      <c r="AJ7" s="166">
        <v>41238</v>
      </c>
      <c r="AK7" s="166">
        <v>0</v>
      </c>
      <c r="AL7" s="166">
        <f t="shared" si="201"/>
        <v>69570.179999999993</v>
      </c>
      <c r="AM7" s="158">
        <f>15000+31818.18</f>
        <v>46818.18</v>
      </c>
      <c r="AN7" s="158">
        <v>22752</v>
      </c>
      <c r="AO7" s="158">
        <v>0</v>
      </c>
      <c r="AP7" s="166">
        <f t="shared" si="202"/>
        <v>82288</v>
      </c>
      <c r="AQ7" s="166">
        <v>50000</v>
      </c>
      <c r="AR7" s="166">
        <v>32288</v>
      </c>
      <c r="AS7" s="166">
        <v>0</v>
      </c>
      <c r="AT7" s="166">
        <f t="shared" si="203"/>
        <v>108645</v>
      </c>
      <c r="AU7" s="166">
        <v>65000</v>
      </c>
      <c r="AV7" s="166">
        <v>43645</v>
      </c>
      <c r="AW7" s="166">
        <v>0</v>
      </c>
      <c r="AX7" s="166">
        <f t="shared" si="204"/>
        <v>135726</v>
      </c>
      <c r="AY7" s="158">
        <v>65000</v>
      </c>
      <c r="AZ7" s="158">
        <v>70726</v>
      </c>
      <c r="BA7" s="158">
        <v>0</v>
      </c>
      <c r="BB7" s="159"/>
      <c r="BC7" s="166">
        <f t="shared" si="205"/>
        <v>67064</v>
      </c>
      <c r="BD7" s="166">
        <v>50000</v>
      </c>
      <c r="BE7" s="166">
        <v>17064</v>
      </c>
      <c r="BF7" s="166">
        <v>0</v>
      </c>
      <c r="BG7" s="166">
        <f t="shared" si="206"/>
        <v>83065</v>
      </c>
      <c r="BH7" s="158">
        <v>50000</v>
      </c>
      <c r="BI7" s="158">
        <v>33065</v>
      </c>
      <c r="BJ7" s="158">
        <v>0</v>
      </c>
      <c r="BK7" s="158"/>
      <c r="BL7" s="158"/>
      <c r="BM7" s="158"/>
      <c r="BN7" s="158"/>
      <c r="BO7" s="26">
        <f t="shared" si="207"/>
        <v>6</v>
      </c>
    </row>
    <row r="8" ht="15.75" customHeight="1" outlineLevel="1">
      <c r="A8" s="156"/>
      <c r="B8" s="160" t="s">
        <v>240</v>
      </c>
      <c r="C8" s="8"/>
      <c r="D8" s="8"/>
      <c r="E8" s="163">
        <v>50000</v>
      </c>
      <c r="F8" s="158">
        <f>SUM(G8:H8)</f>
        <v>38599</v>
      </c>
      <c r="G8" s="158">
        <v>35000</v>
      </c>
      <c r="H8" s="158">
        <v>3599</v>
      </c>
      <c r="I8" s="158"/>
      <c r="J8" s="158">
        <f t="shared" si="208"/>
        <v>65481</v>
      </c>
      <c r="K8" s="158">
        <v>50000</v>
      </c>
      <c r="L8" s="158">
        <v>15481</v>
      </c>
      <c r="M8" s="158">
        <v>0</v>
      </c>
      <c r="N8" s="158">
        <f t="shared" si="209"/>
        <v>73707</v>
      </c>
      <c r="O8" s="158">
        <v>50000</v>
      </c>
      <c r="P8" s="158">
        <v>23707</v>
      </c>
      <c r="Q8" s="158">
        <v>0</v>
      </c>
      <c r="R8" s="158">
        <f t="shared" si="210"/>
        <v>67206</v>
      </c>
      <c r="S8" s="158">
        <v>50000</v>
      </c>
      <c r="T8" s="158">
        <v>17206</v>
      </c>
      <c r="U8" s="158">
        <v>0</v>
      </c>
      <c r="V8" s="158">
        <f>SUM(W8:Y8)</f>
        <v>41796.559999999998</v>
      </c>
      <c r="W8" s="158">
        <v>29166.669999999998</v>
      </c>
      <c r="X8" s="158">
        <v>8380</v>
      </c>
      <c r="Y8" s="158">
        <v>4249.8900000000003</v>
      </c>
      <c r="Z8" s="158">
        <f t="shared" si="211"/>
        <v>49106.630000000005</v>
      </c>
      <c r="AA8" s="158">
        <v>18333.330000000002</v>
      </c>
      <c r="AB8" s="158">
        <v>10565</v>
      </c>
      <c r="AC8" s="158">
        <v>20208.299999999999</v>
      </c>
      <c r="AD8" s="158">
        <f>SUM(AE8:AG9)</f>
        <v>14035.950000000001</v>
      </c>
      <c r="AE8" s="158">
        <v>5000</v>
      </c>
      <c r="AF8" s="158">
        <v>0</v>
      </c>
      <c r="AG8" s="158">
        <v>9035.9500000000007</v>
      </c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59"/>
      <c r="BC8" s="164"/>
      <c r="BD8" s="164"/>
      <c r="BE8" s="164"/>
      <c r="BF8" s="164"/>
      <c r="BG8" s="164"/>
      <c r="BH8" s="164"/>
      <c r="BI8" s="164"/>
      <c r="BJ8" s="164"/>
      <c r="BK8" s="164"/>
      <c r="BL8" s="158"/>
      <c r="BM8" s="158"/>
      <c r="BN8" s="158"/>
      <c r="BO8" s="26">
        <f t="shared" si="207"/>
        <v>0</v>
      </c>
    </row>
    <row r="9" ht="15.75" customHeight="1">
      <c r="A9" s="156" t="s">
        <v>151</v>
      </c>
      <c r="B9" s="131"/>
      <c r="C9" s="132"/>
      <c r="D9" s="157"/>
      <c r="E9" s="170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9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</row>
    <row r="10" ht="15.75" customHeight="1" outlineLevel="1">
      <c r="A10" s="156"/>
      <c r="B10" s="160" t="s">
        <v>241</v>
      </c>
      <c r="C10" s="161" t="s">
        <v>242</v>
      </c>
      <c r="D10" s="162" t="s">
        <v>243</v>
      </c>
      <c r="E10" s="163">
        <v>60000</v>
      </c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59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26">
        <f t="shared" ref="BO10:BO73" si="212">COUNT(AL10,AP10,AT10,AX10,BC10,BG10)</f>
        <v>0</v>
      </c>
    </row>
    <row r="11" ht="15.75" customHeight="1" outlineLevel="1">
      <c r="A11" s="156"/>
      <c r="B11" s="171" t="s">
        <v>244</v>
      </c>
      <c r="C11" s="8"/>
      <c r="D11" s="8"/>
      <c r="E11" s="163">
        <v>60000</v>
      </c>
      <c r="F11" s="158">
        <v>36371</v>
      </c>
      <c r="G11" s="158">
        <v>25000</v>
      </c>
      <c r="H11" s="158">
        <v>11371</v>
      </c>
      <c r="I11" s="158"/>
      <c r="J11" s="158">
        <v>48585</v>
      </c>
      <c r="K11" s="158">
        <v>25000</v>
      </c>
      <c r="L11" s="158">
        <v>23585</v>
      </c>
      <c r="M11" s="158"/>
      <c r="N11" s="158">
        <v>52445</v>
      </c>
      <c r="O11" s="158">
        <v>25000</v>
      </c>
      <c r="P11" s="158">
        <v>27445</v>
      </c>
      <c r="Q11" s="158"/>
      <c r="R11" s="158">
        <v>39950</v>
      </c>
      <c r="S11" s="158">
        <v>22618</v>
      </c>
      <c r="T11" s="158">
        <v>17332</v>
      </c>
      <c r="U11" s="158"/>
      <c r="V11" s="158">
        <v>39473</v>
      </c>
      <c r="W11" s="158">
        <v>22222</v>
      </c>
      <c r="X11" s="158">
        <v>17251</v>
      </c>
      <c r="Y11" s="158"/>
      <c r="Z11" s="158">
        <v>47463</v>
      </c>
      <c r="AA11" s="158">
        <v>25000</v>
      </c>
      <c r="AB11" s="158">
        <v>22463</v>
      </c>
      <c r="AC11" s="158"/>
      <c r="AD11" s="158">
        <v>39445</v>
      </c>
      <c r="AE11" s="158">
        <v>25000</v>
      </c>
      <c r="AF11" s="158">
        <v>14445</v>
      </c>
      <c r="AG11" s="158"/>
      <c r="AH11" s="158">
        <v>33054</v>
      </c>
      <c r="AI11" s="158">
        <v>25000</v>
      </c>
      <c r="AJ11" s="158">
        <v>8054</v>
      </c>
      <c r="AK11" s="158"/>
      <c r="AL11" s="158">
        <v>48204</v>
      </c>
      <c r="AM11" s="158">
        <v>25000</v>
      </c>
      <c r="AN11" s="158">
        <v>23204</v>
      </c>
      <c r="AO11" s="158"/>
      <c r="AP11" s="166">
        <v>84565</v>
      </c>
      <c r="AQ11" s="166">
        <v>25000</v>
      </c>
      <c r="AR11" s="166">
        <v>36811</v>
      </c>
      <c r="AS11" s="166">
        <v>22754</v>
      </c>
      <c r="AT11" s="166">
        <v>66301</v>
      </c>
      <c r="AU11" s="166">
        <v>25000</v>
      </c>
      <c r="AV11" s="166">
        <v>41301</v>
      </c>
      <c r="AW11" s="166"/>
      <c r="AX11" s="166">
        <v>72510</v>
      </c>
      <c r="AY11" s="158">
        <v>25000</v>
      </c>
      <c r="AZ11" s="158">
        <v>47510</v>
      </c>
      <c r="BA11" s="158"/>
      <c r="BB11" s="159"/>
      <c r="BC11" s="158">
        <v>42211</v>
      </c>
      <c r="BD11" s="158">
        <v>25000</v>
      </c>
      <c r="BE11" s="158">
        <v>17211</v>
      </c>
      <c r="BF11" s="158"/>
      <c r="BG11" s="166">
        <v>57042</v>
      </c>
      <c r="BH11" s="158">
        <v>25000</v>
      </c>
      <c r="BI11" s="158">
        <v>32042</v>
      </c>
      <c r="BJ11" s="158"/>
      <c r="BK11" s="158"/>
      <c r="BL11" s="158"/>
      <c r="BM11" s="158"/>
      <c r="BN11" s="158"/>
      <c r="BO11" s="26">
        <f t="shared" si="212"/>
        <v>6</v>
      </c>
    </row>
    <row r="12" ht="15.75" customHeight="1" outlineLevel="1">
      <c r="A12" s="156"/>
      <c r="B12" s="171" t="s">
        <v>245</v>
      </c>
      <c r="C12" s="161" t="s">
        <v>246</v>
      </c>
      <c r="D12" s="162" t="s">
        <v>247</v>
      </c>
      <c r="E12" s="163">
        <v>50000</v>
      </c>
      <c r="F12" s="158">
        <v>37149</v>
      </c>
      <c r="G12" s="158">
        <v>25000</v>
      </c>
      <c r="H12" s="158">
        <v>12149</v>
      </c>
      <c r="I12" s="158"/>
      <c r="J12" s="158">
        <v>37409</v>
      </c>
      <c r="K12" s="158">
        <v>25000</v>
      </c>
      <c r="L12" s="158">
        <v>12409</v>
      </c>
      <c r="M12" s="158"/>
      <c r="N12" s="158">
        <v>41623</v>
      </c>
      <c r="O12" s="158">
        <v>25000</v>
      </c>
      <c r="P12" s="158">
        <f>2500+14123</f>
        <v>16623</v>
      </c>
      <c r="Q12" s="158"/>
      <c r="R12" s="158">
        <v>42067</v>
      </c>
      <c r="S12" s="158">
        <v>22619</v>
      </c>
      <c r="T12" s="158">
        <v>19448</v>
      </c>
      <c r="U12" s="158"/>
      <c r="V12" s="158">
        <v>43224</v>
      </c>
      <c r="W12" s="158">
        <v>22222</v>
      </c>
      <c r="X12" s="158">
        <v>21002</v>
      </c>
      <c r="Y12" s="158"/>
      <c r="Z12" s="158">
        <v>66076</v>
      </c>
      <c r="AA12" s="158">
        <v>22619</v>
      </c>
      <c r="AB12" s="158">
        <f>11309+20219</f>
        <v>31528</v>
      </c>
      <c r="AC12" s="158">
        <f>1704+10225</f>
        <v>11929</v>
      </c>
      <c r="AD12" s="158">
        <v>28820</v>
      </c>
      <c r="AE12" s="158">
        <v>15476</v>
      </c>
      <c r="AF12" s="158">
        <v>13345</v>
      </c>
      <c r="AG12" s="158"/>
      <c r="AH12" s="158">
        <v>47311</v>
      </c>
      <c r="AI12" s="158">
        <v>14130</v>
      </c>
      <c r="AJ12" s="158">
        <f>18171+2500</f>
        <v>20671</v>
      </c>
      <c r="AK12" s="158">
        <f>12509</f>
        <v>12509</v>
      </c>
      <c r="AL12" s="158">
        <v>27053</v>
      </c>
      <c r="AM12" s="158">
        <v>6818</v>
      </c>
      <c r="AN12" s="158">
        <v>20235</v>
      </c>
      <c r="AO12" s="158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59"/>
      <c r="BC12" s="164"/>
      <c r="BD12" s="164"/>
      <c r="BE12" s="164"/>
      <c r="BF12" s="164"/>
      <c r="BG12" s="164"/>
      <c r="BH12" s="164"/>
      <c r="BI12" s="164"/>
      <c r="BJ12" s="164"/>
      <c r="BK12" s="164"/>
      <c r="BL12" s="158"/>
      <c r="BM12" s="158"/>
      <c r="BN12" s="158"/>
      <c r="BO12" s="26">
        <f t="shared" si="212"/>
        <v>1</v>
      </c>
    </row>
    <row r="13" ht="15.75" customHeight="1" outlineLevel="1">
      <c r="A13" s="156"/>
      <c r="B13" s="171" t="s">
        <v>248</v>
      </c>
      <c r="C13" s="168"/>
      <c r="D13" s="168"/>
      <c r="E13" s="163">
        <v>50000</v>
      </c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58"/>
      <c r="AJ13" s="158"/>
      <c r="AK13" s="158"/>
      <c r="AL13" s="158">
        <v>2273</v>
      </c>
      <c r="AM13" s="158">
        <v>2273</v>
      </c>
      <c r="AN13" s="158"/>
      <c r="AO13" s="158"/>
      <c r="AP13" s="172">
        <v>25884</v>
      </c>
      <c r="AQ13" s="172">
        <v>25000</v>
      </c>
      <c r="AR13" s="172">
        <v>884</v>
      </c>
      <c r="AS13" s="172"/>
      <c r="AT13" s="172">
        <v>29001</v>
      </c>
      <c r="AU13" s="172">
        <v>25000</v>
      </c>
      <c r="AV13" s="172">
        <v>4001</v>
      </c>
      <c r="AW13" s="172"/>
      <c r="AX13" s="172">
        <v>31658</v>
      </c>
      <c r="AY13" s="172">
        <v>25000</v>
      </c>
      <c r="AZ13" s="172">
        <v>6658</v>
      </c>
      <c r="BA13" s="172"/>
      <c r="BB13" s="172"/>
      <c r="BC13" s="172">
        <v>36169</v>
      </c>
      <c r="BD13" s="172">
        <v>25000</v>
      </c>
      <c r="BE13" s="172">
        <v>11169</v>
      </c>
      <c r="BF13" s="172"/>
      <c r="BG13" s="172">
        <v>40945</v>
      </c>
      <c r="BH13" s="158">
        <v>25000</v>
      </c>
      <c r="BI13" s="158">
        <v>15945</v>
      </c>
      <c r="BJ13" s="158"/>
      <c r="BK13" s="158"/>
      <c r="BL13" s="158"/>
      <c r="BM13" s="158"/>
      <c r="BN13" s="158"/>
      <c r="BO13" s="26">
        <f t="shared" si="212"/>
        <v>6</v>
      </c>
    </row>
    <row r="14" ht="15.75" customHeight="1" outlineLevel="1">
      <c r="A14" s="156"/>
      <c r="B14" s="173" t="s">
        <v>249</v>
      </c>
      <c r="C14" s="168"/>
      <c r="D14" s="168"/>
      <c r="E14" s="163">
        <v>50000</v>
      </c>
      <c r="F14" s="158">
        <v>16490</v>
      </c>
      <c r="G14" s="158">
        <v>7812.5</v>
      </c>
      <c r="H14" s="158">
        <v>8678</v>
      </c>
      <c r="I14" s="158"/>
      <c r="J14" s="158">
        <v>41981</v>
      </c>
      <c r="K14" s="158">
        <v>25000</v>
      </c>
      <c r="L14" s="158">
        <f>14481+2500</f>
        <v>16981</v>
      </c>
      <c r="M14" s="158"/>
      <c r="N14" s="158">
        <v>43533</v>
      </c>
      <c r="O14" s="158">
        <v>25000</v>
      </c>
      <c r="P14" s="158">
        <f>2500+16033</f>
        <v>18533</v>
      </c>
      <c r="Q14" s="158"/>
      <c r="R14" s="158">
        <v>39029</v>
      </c>
      <c r="S14" s="158">
        <v>22619</v>
      </c>
      <c r="T14" s="158">
        <v>16410</v>
      </c>
      <c r="U14" s="158"/>
      <c r="V14" s="158">
        <v>34001</v>
      </c>
      <c r="W14" s="158">
        <v>22222</v>
      </c>
      <c r="X14" s="158">
        <v>11779</v>
      </c>
      <c r="Y14" s="158"/>
      <c r="Z14" s="158">
        <v>47229</v>
      </c>
      <c r="AA14" s="158">
        <v>13095</v>
      </c>
      <c r="AB14" s="158">
        <f>7500+14963</f>
        <v>22463</v>
      </c>
      <c r="AC14" s="158">
        <v>11671</v>
      </c>
      <c r="AD14" s="158">
        <v>18387</v>
      </c>
      <c r="AE14" s="158">
        <v>13095</v>
      </c>
      <c r="AF14" s="158">
        <v>3304</v>
      </c>
      <c r="AG14" s="158">
        <v>1988</v>
      </c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58"/>
      <c r="AZ14" s="158"/>
      <c r="BA14" s="158"/>
      <c r="BB14" s="159"/>
      <c r="BC14" s="164"/>
      <c r="BD14" s="164"/>
      <c r="BE14" s="164"/>
      <c r="BF14" s="164"/>
      <c r="BG14" s="164"/>
      <c r="BH14" s="164"/>
      <c r="BI14" s="164"/>
      <c r="BJ14" s="164"/>
      <c r="BK14" s="164"/>
      <c r="BL14" s="158"/>
      <c r="BM14" s="158"/>
      <c r="BN14" s="158"/>
      <c r="BO14" s="26">
        <f t="shared" si="212"/>
        <v>0</v>
      </c>
    </row>
    <row r="15" ht="15.75" customHeight="1" outlineLevel="1">
      <c r="A15" s="156"/>
      <c r="B15" s="171" t="s">
        <v>250</v>
      </c>
      <c r="C15" s="168"/>
      <c r="D15" s="168"/>
      <c r="E15" s="163">
        <v>50000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58"/>
      <c r="AJ15" s="158"/>
      <c r="AK15" s="158"/>
      <c r="AL15" s="158">
        <v>7955</v>
      </c>
      <c r="AM15" s="158">
        <v>7955</v>
      </c>
      <c r="AN15" s="158"/>
      <c r="AO15" s="158"/>
      <c r="AP15" s="166">
        <v>69757</v>
      </c>
      <c r="AQ15" s="166">
        <v>25000</v>
      </c>
      <c r="AR15" s="166">
        <v>44757</v>
      </c>
      <c r="AS15" s="166"/>
      <c r="AT15" s="166">
        <v>61143</v>
      </c>
      <c r="AU15" s="166">
        <v>25000</v>
      </c>
      <c r="AV15" s="166">
        <v>36143</v>
      </c>
      <c r="AW15" s="166"/>
      <c r="AX15" s="166">
        <v>50470</v>
      </c>
      <c r="AY15" s="158">
        <v>25000</v>
      </c>
      <c r="AZ15" s="158">
        <v>25470</v>
      </c>
      <c r="BA15" s="158"/>
      <c r="BB15" s="159"/>
      <c r="BC15" s="169">
        <v>48595</v>
      </c>
      <c r="BD15" s="169">
        <v>25000</v>
      </c>
      <c r="BE15" s="169">
        <v>23595</v>
      </c>
      <c r="BF15" s="169"/>
      <c r="BG15" s="169">
        <v>44908</v>
      </c>
      <c r="BH15" s="158">
        <v>25000</v>
      </c>
      <c r="BI15" s="158">
        <v>19908</v>
      </c>
      <c r="BJ15" s="158"/>
      <c r="BK15" s="158"/>
      <c r="BL15" s="158"/>
      <c r="BM15" s="158"/>
      <c r="BN15" s="158"/>
      <c r="BO15" s="26">
        <f t="shared" si="212"/>
        <v>6</v>
      </c>
    </row>
    <row r="16" ht="15.75" customHeight="1" outlineLevel="1">
      <c r="A16" s="156"/>
      <c r="B16" s="171" t="s">
        <v>251</v>
      </c>
      <c r="C16" s="168"/>
      <c r="D16" s="168"/>
      <c r="E16" s="163">
        <v>50000</v>
      </c>
      <c r="F16" s="158">
        <v>49352</v>
      </c>
      <c r="G16" s="158">
        <v>25000</v>
      </c>
      <c r="H16" s="158">
        <f>2500+21852</f>
        <v>24352</v>
      </c>
      <c r="I16" s="158"/>
      <c r="J16" s="158">
        <v>65767</v>
      </c>
      <c r="K16" s="158">
        <v>25000</v>
      </c>
      <c r="L16" s="158">
        <f>10000+30767</f>
        <v>40767</v>
      </c>
      <c r="M16" s="158"/>
      <c r="N16" s="158">
        <v>53963</v>
      </c>
      <c r="O16" s="158">
        <v>25000</v>
      </c>
      <c r="P16" s="158">
        <f>23963+5000</f>
        <v>28963</v>
      </c>
      <c r="Q16" s="158"/>
      <c r="R16" s="158">
        <v>42668</v>
      </c>
      <c r="S16" s="158">
        <v>10714</v>
      </c>
      <c r="T16" s="158">
        <v>19166</v>
      </c>
      <c r="U16" s="158">
        <v>12787</v>
      </c>
      <c r="V16" s="158">
        <v>35121</v>
      </c>
      <c r="W16" s="158">
        <v>22222</v>
      </c>
      <c r="X16" s="158">
        <v>12900</v>
      </c>
      <c r="Y16" s="158"/>
      <c r="Z16" s="158">
        <v>44883</v>
      </c>
      <c r="AA16" s="158">
        <v>25000</v>
      </c>
      <c r="AB16" s="158">
        <f>9883+10000</f>
        <v>19883</v>
      </c>
      <c r="AC16" s="158"/>
      <c r="AD16" s="158">
        <v>41376</v>
      </c>
      <c r="AE16" s="158">
        <v>22619</v>
      </c>
      <c r="AF16" s="158">
        <v>5036</v>
      </c>
      <c r="AG16" s="158">
        <f>3920+9800</f>
        <v>13720</v>
      </c>
      <c r="AH16" s="158">
        <v>20460</v>
      </c>
      <c r="AI16" s="158">
        <v>16304</v>
      </c>
      <c r="AJ16" s="158">
        <v>4155</v>
      </c>
      <c r="AK16" s="158"/>
      <c r="AL16" s="158">
        <f>49209-6860</f>
        <v>42349</v>
      </c>
      <c r="AM16" s="158">
        <v>25000</v>
      </c>
      <c r="AN16" s="158">
        <f>2500+21708</f>
        <v>24208</v>
      </c>
      <c r="AO16" s="158">
        <v>-6860</v>
      </c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59"/>
      <c r="BC16" s="164"/>
      <c r="BD16" s="164"/>
      <c r="BE16" s="164"/>
      <c r="BF16" s="164"/>
      <c r="BG16" s="164"/>
      <c r="BH16" s="164"/>
      <c r="BI16" s="164"/>
      <c r="BJ16" s="164"/>
      <c r="BK16" s="164"/>
      <c r="BL16" s="158"/>
      <c r="BM16" s="158"/>
      <c r="BN16" s="158"/>
      <c r="BO16" s="26">
        <f t="shared" si="212"/>
        <v>1</v>
      </c>
    </row>
    <row r="17" ht="15.75" customHeight="1" outlineLevel="1">
      <c r="A17" s="156"/>
      <c r="B17" s="173" t="s">
        <v>252</v>
      </c>
      <c r="C17" s="168"/>
      <c r="D17" s="168"/>
      <c r="E17" s="163">
        <v>50000</v>
      </c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58"/>
      <c r="AZ17" s="158"/>
      <c r="BA17" s="158"/>
      <c r="BB17" s="159"/>
      <c r="BC17" s="158"/>
      <c r="BD17" s="158"/>
      <c r="BE17" s="158"/>
      <c r="BF17" s="158"/>
      <c r="BG17" s="158">
        <v>9722</v>
      </c>
      <c r="BH17" s="158">
        <v>0</v>
      </c>
      <c r="BI17" s="158">
        <v>9722</v>
      </c>
      <c r="BJ17" s="158"/>
      <c r="BK17" s="158">
        <v>10000</v>
      </c>
      <c r="BL17" s="158"/>
      <c r="BM17" s="158"/>
      <c r="BN17" s="158"/>
      <c r="BO17" s="33">
        <f t="shared" si="212"/>
        <v>1</v>
      </c>
      <c r="BP17" s="167">
        <f>IF(BO17&lt;6,E17-BK17,BK17)</f>
        <v>40000</v>
      </c>
    </row>
    <row r="18" ht="15.75" customHeight="1" outlineLevel="1">
      <c r="A18" s="156"/>
      <c r="B18" s="171" t="s">
        <v>253</v>
      </c>
      <c r="C18" s="168"/>
      <c r="D18" s="168"/>
      <c r="E18" s="163">
        <v>50000</v>
      </c>
      <c r="F18" s="158">
        <v>40388</v>
      </c>
      <c r="G18" s="158">
        <v>25000</v>
      </c>
      <c r="H18" s="158">
        <f>2500+12888</f>
        <v>15388</v>
      </c>
      <c r="I18" s="158"/>
      <c r="J18" s="158">
        <v>44860</v>
      </c>
      <c r="K18" s="158">
        <v>25000</v>
      </c>
      <c r="L18" s="158">
        <f>2500+17360</f>
        <v>19860</v>
      </c>
      <c r="M18" s="158"/>
      <c r="N18" s="158">
        <v>39119</v>
      </c>
      <c r="O18" s="158">
        <v>25000</v>
      </c>
      <c r="P18" s="158">
        <f>2500+11619</f>
        <v>14119</v>
      </c>
      <c r="Q18" s="158"/>
      <c r="R18" s="158">
        <v>47945</v>
      </c>
      <c r="S18" s="158">
        <v>22619</v>
      </c>
      <c r="T18" s="158">
        <v>25326</v>
      </c>
      <c r="U18" s="158"/>
      <c r="V18" s="158">
        <v>40068</v>
      </c>
      <c r="W18" s="158">
        <v>22222</v>
      </c>
      <c r="X18" s="158">
        <v>17846</v>
      </c>
      <c r="Y18" s="158"/>
      <c r="Z18" s="158">
        <v>49975</v>
      </c>
      <c r="AA18" s="158">
        <v>14286</v>
      </c>
      <c r="AB18" s="158">
        <f>13367+7500</f>
        <v>20867</v>
      </c>
      <c r="AC18" s="158">
        <f>10190+4632</f>
        <v>14822</v>
      </c>
      <c r="AD18" s="158">
        <v>30528</v>
      </c>
      <c r="AE18" s="158">
        <v>20238</v>
      </c>
      <c r="AF18" s="158">
        <v>10290</v>
      </c>
      <c r="AG18" s="158"/>
      <c r="AH18" s="158">
        <v>35746</v>
      </c>
      <c r="AI18" s="158">
        <v>14130</v>
      </c>
      <c r="AJ18" s="158">
        <v>5372</v>
      </c>
      <c r="AK18" s="158">
        <v>16245</v>
      </c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59"/>
      <c r="BC18" s="164"/>
      <c r="BD18" s="164"/>
      <c r="BE18" s="164"/>
      <c r="BF18" s="164"/>
      <c r="BG18" s="164"/>
      <c r="BH18" s="164"/>
      <c r="BI18" s="164"/>
      <c r="BJ18" s="164"/>
      <c r="BK18" s="164"/>
      <c r="BL18" s="158"/>
      <c r="BM18" s="158"/>
      <c r="BN18" s="158"/>
      <c r="BO18" s="26">
        <f t="shared" si="212"/>
        <v>0</v>
      </c>
    </row>
    <row r="19" ht="15.75" customHeight="1" outlineLevel="1">
      <c r="A19" s="156"/>
      <c r="B19" s="173" t="s">
        <v>254</v>
      </c>
      <c r="C19" s="8"/>
      <c r="D19" s="8"/>
      <c r="E19" s="163">
        <v>50000</v>
      </c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72">
        <v>2273</v>
      </c>
      <c r="AM19" s="172">
        <v>2273</v>
      </c>
      <c r="AN19" s="172"/>
      <c r="AO19" s="172"/>
      <c r="AP19" s="172">
        <v>26416</v>
      </c>
      <c r="AQ19" s="172">
        <v>25000</v>
      </c>
      <c r="AR19" s="172">
        <v>1416</v>
      </c>
      <c r="AS19" s="172"/>
      <c r="AT19" s="172">
        <v>30676</v>
      </c>
      <c r="AU19" s="172">
        <v>25000</v>
      </c>
      <c r="AV19" s="172">
        <v>5676</v>
      </c>
      <c r="AW19" s="172"/>
      <c r="AX19" s="172">
        <v>29328</v>
      </c>
      <c r="AY19" s="172">
        <v>18182</v>
      </c>
      <c r="AZ19" s="172">
        <v>7666</v>
      </c>
      <c r="BA19" s="172">
        <v>3480</v>
      </c>
      <c r="BB19" s="172"/>
      <c r="BC19" s="172">
        <v>27631</v>
      </c>
      <c r="BD19" s="172">
        <v>25000</v>
      </c>
      <c r="BE19" s="172">
        <v>2631</v>
      </c>
      <c r="BF19" s="172"/>
      <c r="BG19" s="172">
        <v>30125</v>
      </c>
      <c r="BH19" s="158">
        <v>25000</v>
      </c>
      <c r="BI19" s="158">
        <v>5125</v>
      </c>
      <c r="BJ19" s="158"/>
      <c r="BK19" s="158"/>
      <c r="BL19" s="158"/>
      <c r="BM19" s="158"/>
      <c r="BN19" s="158"/>
      <c r="BO19" s="26">
        <f t="shared" si="212"/>
        <v>6</v>
      </c>
    </row>
    <row r="20" ht="15.75" customHeight="1" outlineLevel="1">
      <c r="A20" s="156"/>
      <c r="B20" s="171" t="s">
        <v>255</v>
      </c>
      <c r="C20" s="161" t="s">
        <v>256</v>
      </c>
      <c r="D20" s="162">
        <v>50000</v>
      </c>
      <c r="E20" s="163">
        <v>50000</v>
      </c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58"/>
      <c r="AN20" s="158"/>
      <c r="AO20" s="158"/>
      <c r="AP20" s="172">
        <v>11232</v>
      </c>
      <c r="AQ20" s="172">
        <v>9523</v>
      </c>
      <c r="AR20" s="172">
        <v>1709</v>
      </c>
      <c r="AS20" s="172"/>
      <c r="AT20" s="172">
        <v>26033</v>
      </c>
      <c r="AU20" s="172">
        <v>25000</v>
      </c>
      <c r="AV20" s="172">
        <v>1033</v>
      </c>
      <c r="AW20" s="172"/>
      <c r="AX20" s="172">
        <v>28030</v>
      </c>
      <c r="AY20" s="172">
        <v>22727</v>
      </c>
      <c r="AZ20" s="172">
        <v>5303</v>
      </c>
      <c r="BA20" s="172"/>
      <c r="BB20" s="172"/>
      <c r="BC20" s="172">
        <v>30082</v>
      </c>
      <c r="BD20" s="172">
        <v>23529</v>
      </c>
      <c r="BE20" s="172">
        <v>1527</v>
      </c>
      <c r="BF20" s="172">
        <f>2122+2903</f>
        <v>5025</v>
      </c>
      <c r="BG20" s="172">
        <v>29025</v>
      </c>
      <c r="BH20" s="158">
        <v>19117</v>
      </c>
      <c r="BI20" s="158">
        <v>712</v>
      </c>
      <c r="BJ20" s="158">
        <v>9196</v>
      </c>
      <c r="BK20" s="164">
        <v>30000</v>
      </c>
      <c r="BL20" s="164"/>
      <c r="BM20" s="164"/>
      <c r="BN20" s="164"/>
      <c r="BO20" s="33">
        <f t="shared" si="212"/>
        <v>5</v>
      </c>
      <c r="BP20" s="167">
        <f>IF(BO20&lt;6,E20-BK20,BK20)</f>
        <v>20000</v>
      </c>
    </row>
    <row r="21" ht="15.75" customHeight="1" outlineLevel="1">
      <c r="A21" s="156"/>
      <c r="B21" s="171" t="s">
        <v>257</v>
      </c>
      <c r="C21" s="168"/>
      <c r="D21" s="168"/>
      <c r="E21" s="163">
        <v>50000</v>
      </c>
      <c r="F21" s="158">
        <v>36147</v>
      </c>
      <c r="G21" s="158">
        <v>25000</v>
      </c>
      <c r="H21" s="158">
        <v>11147</v>
      </c>
      <c r="I21" s="158"/>
      <c r="J21" s="158">
        <v>36528</v>
      </c>
      <c r="K21" s="158">
        <v>25000</v>
      </c>
      <c r="L21" s="158">
        <v>11528</v>
      </c>
      <c r="M21" s="158"/>
      <c r="N21" s="158">
        <v>37158</v>
      </c>
      <c r="O21" s="158">
        <v>25000</v>
      </c>
      <c r="P21" s="158">
        <v>12158</v>
      </c>
      <c r="Q21" s="158"/>
      <c r="R21" s="158">
        <v>38930</v>
      </c>
      <c r="S21" s="158">
        <v>13095</v>
      </c>
      <c r="T21" s="158">
        <v>10317</v>
      </c>
      <c r="U21" s="158">
        <v>15500</v>
      </c>
      <c r="V21" s="158">
        <v>32312</v>
      </c>
      <c r="W21" s="158">
        <v>25000</v>
      </c>
      <c r="X21" s="158">
        <v>7312</v>
      </c>
      <c r="Y21" s="158"/>
      <c r="Z21" s="158">
        <v>34712</v>
      </c>
      <c r="AA21" s="158">
        <v>25000</v>
      </c>
      <c r="AB21" s="158">
        <v>9712</v>
      </c>
      <c r="AC21" s="158"/>
      <c r="AD21" s="158">
        <v>33781</v>
      </c>
      <c r="AE21" s="158">
        <v>25000</v>
      </c>
      <c r="AF21" s="158">
        <v>8781</v>
      </c>
      <c r="AG21" s="158"/>
      <c r="AH21" s="158">
        <v>37948</v>
      </c>
      <c r="AI21" s="158">
        <v>25000</v>
      </c>
      <c r="AJ21" s="158">
        <v>12948</v>
      </c>
      <c r="AK21" s="158"/>
      <c r="AL21" s="158">
        <v>29506</v>
      </c>
      <c r="AM21" s="158">
        <v>7954</v>
      </c>
      <c r="AN21" s="158">
        <v>10253</v>
      </c>
      <c r="AO21" s="158">
        <v>11299</v>
      </c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59"/>
      <c r="BC21" s="164"/>
      <c r="BD21" s="164"/>
      <c r="BE21" s="164"/>
      <c r="BF21" s="164"/>
      <c r="BG21" s="164"/>
      <c r="BH21" s="164"/>
      <c r="BI21" s="164"/>
      <c r="BJ21" s="164"/>
      <c r="BK21" s="164"/>
      <c r="BL21" s="158"/>
      <c r="BM21" s="158"/>
      <c r="BN21" s="158"/>
      <c r="BO21" s="26">
        <f t="shared" si="212"/>
        <v>1</v>
      </c>
    </row>
    <row r="22" ht="15.75" customHeight="1" outlineLevel="1">
      <c r="A22" s="156"/>
      <c r="B22" s="173" t="s">
        <v>258</v>
      </c>
      <c r="C22" s="8"/>
      <c r="D22" s="8"/>
      <c r="E22" s="163">
        <v>50000</v>
      </c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59"/>
      <c r="BC22" s="164"/>
      <c r="BD22" s="158"/>
      <c r="BE22" s="158"/>
      <c r="BF22" s="158"/>
      <c r="BG22" s="158">
        <v>6819</v>
      </c>
      <c r="BH22" s="158">
        <v>6819</v>
      </c>
      <c r="BI22" s="158"/>
      <c r="BJ22" s="158"/>
      <c r="BK22" s="164"/>
      <c r="BL22" s="164"/>
      <c r="BM22" s="164"/>
      <c r="BN22" s="164"/>
      <c r="BO22" s="26">
        <f t="shared" si="212"/>
        <v>1</v>
      </c>
    </row>
    <row r="23" ht="15.75" customHeight="1" outlineLevel="1">
      <c r="A23" s="156"/>
      <c r="B23" s="171" t="s">
        <v>259</v>
      </c>
      <c r="C23" s="161" t="s">
        <v>260</v>
      </c>
      <c r="D23" s="162">
        <v>50000</v>
      </c>
      <c r="E23" s="163">
        <v>50000</v>
      </c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72">
        <v>7143</v>
      </c>
      <c r="AQ23" s="172">
        <v>7143</v>
      </c>
      <c r="AR23" s="172"/>
      <c r="AS23" s="172"/>
      <c r="AT23" s="172">
        <v>26349</v>
      </c>
      <c r="AU23" s="172">
        <v>25000</v>
      </c>
      <c r="AV23" s="172">
        <v>1349</v>
      </c>
      <c r="AW23" s="172"/>
      <c r="AX23" s="172">
        <v>29891</v>
      </c>
      <c r="AY23" s="172">
        <v>25000</v>
      </c>
      <c r="AZ23" s="172">
        <v>4891</v>
      </c>
      <c r="BA23" s="172"/>
      <c r="BB23" s="172"/>
      <c r="BC23" s="172">
        <v>32000</v>
      </c>
      <c r="BD23" s="172">
        <v>25000</v>
      </c>
      <c r="BE23" s="172">
        <v>7000</v>
      </c>
      <c r="BF23" s="172"/>
      <c r="BG23" s="172">
        <v>28957</v>
      </c>
      <c r="BH23" s="158">
        <v>25000</v>
      </c>
      <c r="BI23" s="158">
        <v>3957</v>
      </c>
      <c r="BJ23" s="158"/>
      <c r="BK23" s="158"/>
      <c r="BL23" s="158"/>
      <c r="BM23" s="158"/>
      <c r="BN23" s="158"/>
      <c r="BO23" s="26">
        <f t="shared" si="212"/>
        <v>5</v>
      </c>
    </row>
    <row r="24" ht="15.75" customHeight="1" outlineLevel="1">
      <c r="A24" s="156"/>
      <c r="B24" s="171" t="s">
        <v>261</v>
      </c>
      <c r="C24" s="8"/>
      <c r="D24" s="8"/>
      <c r="E24" s="163">
        <v>50000</v>
      </c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58"/>
      <c r="AJ24" s="158"/>
      <c r="AK24" s="158"/>
      <c r="AL24" s="172">
        <v>11365</v>
      </c>
      <c r="AM24" s="172">
        <v>11365</v>
      </c>
      <c r="AN24" s="172"/>
      <c r="AO24" s="172"/>
      <c r="AP24" s="172">
        <v>25421</v>
      </c>
      <c r="AQ24" s="172">
        <v>25000</v>
      </c>
      <c r="AR24" s="172">
        <v>421</v>
      </c>
      <c r="AS24" s="172"/>
      <c r="AT24" s="172">
        <v>13664</v>
      </c>
      <c r="AU24" s="158">
        <v>9237</v>
      </c>
      <c r="AV24" s="158"/>
      <c r="AW24" s="158">
        <v>4427</v>
      </c>
      <c r="AX24" s="164"/>
      <c r="AY24" s="158"/>
      <c r="AZ24" s="158"/>
      <c r="BA24" s="158"/>
      <c r="BB24" s="159"/>
      <c r="BC24" s="164"/>
      <c r="BD24" s="164"/>
      <c r="BE24" s="164"/>
      <c r="BF24" s="164"/>
      <c r="BG24" s="164"/>
      <c r="BH24" s="164"/>
      <c r="BI24" s="164"/>
      <c r="BJ24" s="164"/>
      <c r="BK24" s="164"/>
      <c r="BL24" s="158"/>
      <c r="BM24" s="158"/>
      <c r="BN24" s="158"/>
      <c r="BO24" s="26">
        <f t="shared" si="212"/>
        <v>3</v>
      </c>
    </row>
    <row r="25" ht="15.75" customHeight="1" outlineLevel="1">
      <c r="A25" s="156"/>
      <c r="B25" s="171" t="s">
        <v>262</v>
      </c>
      <c r="C25" s="132" t="s">
        <v>263</v>
      </c>
      <c r="D25" s="157" t="s">
        <v>243</v>
      </c>
      <c r="E25" s="170">
        <v>60000</v>
      </c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58"/>
      <c r="AZ25" s="158"/>
      <c r="BA25" s="158"/>
      <c r="BB25" s="159"/>
      <c r="BC25" s="164"/>
      <c r="BD25" s="158"/>
      <c r="BE25" s="158"/>
      <c r="BF25" s="158"/>
      <c r="BG25" s="164"/>
      <c r="BH25" s="164"/>
      <c r="BI25" s="164"/>
      <c r="BJ25" s="164"/>
      <c r="BK25" s="164"/>
      <c r="BL25" s="158"/>
      <c r="BM25" s="158"/>
      <c r="BN25" s="158"/>
      <c r="BO25" s="26">
        <f t="shared" si="212"/>
        <v>0</v>
      </c>
    </row>
    <row r="26" ht="15.75" customHeight="1" outlineLevel="1">
      <c r="A26" s="156"/>
      <c r="B26" s="171" t="s">
        <v>264</v>
      </c>
      <c r="C26" s="132" t="s">
        <v>265</v>
      </c>
      <c r="D26" s="157" t="s">
        <v>243</v>
      </c>
      <c r="E26" s="170">
        <v>60000</v>
      </c>
      <c r="F26" s="164"/>
      <c r="G26" s="158"/>
      <c r="H26" s="158"/>
      <c r="I26" s="158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58"/>
      <c r="AZ26" s="158"/>
      <c r="BA26" s="158"/>
      <c r="BB26" s="159"/>
      <c r="BC26" s="164"/>
      <c r="BD26" s="164"/>
      <c r="BE26" s="164"/>
      <c r="BF26" s="164"/>
      <c r="BG26" s="164"/>
      <c r="BH26" s="158"/>
      <c r="BI26" s="158"/>
      <c r="BJ26" s="158"/>
      <c r="BK26" s="158"/>
      <c r="BL26" s="158"/>
      <c r="BM26" s="158"/>
      <c r="BN26" s="158"/>
      <c r="BO26" s="26">
        <f t="shared" si="212"/>
        <v>0</v>
      </c>
    </row>
    <row r="27" ht="15.75" customHeight="1" outlineLevel="1">
      <c r="A27" s="156"/>
      <c r="B27" s="173" t="s">
        <v>266</v>
      </c>
      <c r="C27" s="132" t="s">
        <v>267</v>
      </c>
      <c r="D27" s="157" t="s">
        <v>247</v>
      </c>
      <c r="E27" s="170">
        <v>50000</v>
      </c>
      <c r="F27" s="164"/>
      <c r="G27" s="158"/>
      <c r="H27" s="158"/>
      <c r="I27" s="158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58"/>
      <c r="AZ27" s="158"/>
      <c r="BA27" s="158"/>
      <c r="BB27" s="159"/>
      <c r="BC27" s="164"/>
      <c r="BD27" s="158"/>
      <c r="BE27" s="158"/>
      <c r="BF27" s="158"/>
      <c r="BG27" s="172">
        <v>31677</v>
      </c>
      <c r="BH27" s="158">
        <v>31111</v>
      </c>
      <c r="BI27" s="158">
        <v>566</v>
      </c>
      <c r="BJ27" s="158"/>
      <c r="BK27" s="158"/>
      <c r="BL27" s="158"/>
      <c r="BM27" s="158"/>
      <c r="BN27" s="158"/>
      <c r="BO27" s="26">
        <f t="shared" si="212"/>
        <v>1</v>
      </c>
    </row>
    <row r="28" ht="15.75" customHeight="1">
      <c r="A28" s="156" t="s">
        <v>152</v>
      </c>
      <c r="B28" s="131"/>
      <c r="C28" s="132"/>
      <c r="D28" s="157"/>
      <c r="E28" s="170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9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</row>
    <row r="29" ht="15.75" customHeight="1" outlineLevel="1">
      <c r="A29" s="156"/>
      <c r="B29" s="160" t="s">
        <v>268</v>
      </c>
      <c r="C29" s="132" t="s">
        <v>269</v>
      </c>
      <c r="D29" s="157" t="s">
        <v>270</v>
      </c>
      <c r="E29" s="170">
        <v>50000</v>
      </c>
      <c r="F29" s="158">
        <f t="shared" ref="F29:F83" si="213">G29+H29+I29</f>
        <v>30000</v>
      </c>
      <c r="G29" s="158">
        <v>30000</v>
      </c>
      <c r="H29" s="158">
        <v>0</v>
      </c>
      <c r="I29" s="158"/>
      <c r="J29" s="158">
        <f t="shared" ref="J29:J83" si="214">K29+L29+M29</f>
        <v>33046</v>
      </c>
      <c r="K29" s="158">
        <v>30000</v>
      </c>
      <c r="L29" s="158">
        <v>3046</v>
      </c>
      <c r="M29" s="158"/>
      <c r="N29" s="158">
        <f t="shared" ref="N29:N83" si="215">O29+P29+Q29</f>
        <v>34196</v>
      </c>
      <c r="O29" s="158">
        <v>30000</v>
      </c>
      <c r="P29" s="158">
        <v>4196</v>
      </c>
      <c r="Q29" s="158"/>
      <c r="R29" s="158">
        <f t="shared" ref="R29:R83" si="216">S29+T29+U29</f>
        <v>41874</v>
      </c>
      <c r="S29" s="158">
        <v>28571</v>
      </c>
      <c r="T29" s="158">
        <v>13303</v>
      </c>
      <c r="U29" s="158"/>
      <c r="V29" s="158">
        <f t="shared" ref="V29:V83" si="217">W29+X29+Y29</f>
        <v>42480</v>
      </c>
      <c r="W29" s="158">
        <v>30000</v>
      </c>
      <c r="X29" s="158">
        <v>12480</v>
      </c>
      <c r="Y29" s="158"/>
      <c r="Z29" s="158">
        <f t="shared" ref="Z29:Z83" si="218">AA29+AB29+AC29</f>
        <v>55714</v>
      </c>
      <c r="AA29" s="158">
        <v>25714</v>
      </c>
      <c r="AB29" s="158">
        <v>19322</v>
      </c>
      <c r="AC29" s="158">
        <v>10678</v>
      </c>
      <c r="AD29" s="158">
        <f t="shared" ref="AD29:AD83" si="219">AE29+AF29+AG29</f>
        <v>43500</v>
      </c>
      <c r="AE29" s="158">
        <v>30000</v>
      </c>
      <c r="AF29" s="158">
        <v>13500</v>
      </c>
      <c r="AG29" s="158"/>
      <c r="AH29" s="158">
        <f t="shared" ref="AH29:AH83" si="220">AI29+AJ29+AK29</f>
        <v>40005</v>
      </c>
      <c r="AI29" s="158">
        <v>28696</v>
      </c>
      <c r="AJ29" s="158">
        <v>11309</v>
      </c>
      <c r="AK29" s="158"/>
      <c r="AL29" s="158">
        <f t="shared" ref="AL29:AL83" si="221">AM29+AN29+AO29</f>
        <v>42944</v>
      </c>
      <c r="AM29" s="158">
        <v>30000</v>
      </c>
      <c r="AN29" s="158">
        <v>12944</v>
      </c>
      <c r="AO29" s="158"/>
      <c r="AP29" s="164">
        <f t="shared" ref="AP29:AP83" si="222">AQ29+AR29+AS29</f>
        <v>0</v>
      </c>
      <c r="AQ29" s="164"/>
      <c r="AR29" s="164"/>
      <c r="AS29" s="164"/>
      <c r="AT29" s="164">
        <f t="shared" ref="AT29:AT83" si="223">AU29+AV29+AW29</f>
        <v>0</v>
      </c>
      <c r="AU29" s="164"/>
      <c r="AV29" s="164"/>
      <c r="AW29" s="164"/>
      <c r="AX29" s="164">
        <f t="shared" ref="AX29:AX83" si="224">AY29+AZ29+BA29</f>
        <v>0</v>
      </c>
      <c r="AY29" s="164"/>
      <c r="AZ29" s="164"/>
      <c r="BA29" s="164"/>
      <c r="BB29" s="159"/>
      <c r="BC29" s="164">
        <f t="shared" ref="BC29:BC83" si="225">BD29+BE29+BF29</f>
        <v>0</v>
      </c>
      <c r="BD29" s="164"/>
      <c r="BE29" s="164"/>
      <c r="BF29" s="164"/>
      <c r="BG29" s="164">
        <f t="shared" ref="BG29:BG83" si="226">BH29+BI29+BJ29</f>
        <v>0</v>
      </c>
      <c r="BH29" s="164"/>
      <c r="BI29" s="164"/>
      <c r="BJ29" s="164"/>
      <c r="BK29" s="164"/>
      <c r="BL29" s="158"/>
      <c r="BM29" s="158"/>
      <c r="BN29" s="158"/>
      <c r="BO29" s="26">
        <f t="shared" si="212"/>
        <v>6</v>
      </c>
    </row>
    <row r="30" ht="15.75" customHeight="1" outlineLevel="1">
      <c r="A30" s="156"/>
      <c r="B30" s="160" t="s">
        <v>271</v>
      </c>
      <c r="C30" s="132" t="s">
        <v>272</v>
      </c>
      <c r="D30" s="157" t="s">
        <v>273</v>
      </c>
      <c r="E30" s="170">
        <v>70000</v>
      </c>
      <c r="F30" s="164">
        <f t="shared" si="213"/>
        <v>0</v>
      </c>
      <c r="G30" s="164"/>
      <c r="H30" s="164"/>
      <c r="I30" s="164"/>
      <c r="J30" s="164">
        <f t="shared" si="214"/>
        <v>0</v>
      </c>
      <c r="K30" s="164"/>
      <c r="L30" s="164"/>
      <c r="M30" s="164"/>
      <c r="N30" s="174">
        <f t="shared" si="215"/>
        <v>40000</v>
      </c>
      <c r="O30" s="158">
        <v>35000</v>
      </c>
      <c r="P30" s="158">
        <v>5000</v>
      </c>
      <c r="Q30" s="158"/>
      <c r="R30" s="174">
        <f t="shared" si="216"/>
        <v>36691</v>
      </c>
      <c r="S30" s="158">
        <v>33333</v>
      </c>
      <c r="T30" s="158">
        <v>3358</v>
      </c>
      <c r="U30" s="158"/>
      <c r="V30" s="174">
        <f t="shared" si="217"/>
        <v>40948</v>
      </c>
      <c r="W30" s="158">
        <v>35000</v>
      </c>
      <c r="X30" s="158">
        <v>5948</v>
      </c>
      <c r="Y30" s="158"/>
      <c r="Z30" s="174">
        <f t="shared" si="218"/>
        <v>38216</v>
      </c>
      <c r="AA30" s="158">
        <v>31667</v>
      </c>
      <c r="AB30" s="158">
        <v>6549</v>
      </c>
      <c r="AC30" s="158"/>
      <c r="AD30" s="174">
        <f t="shared" si="219"/>
        <v>46983</v>
      </c>
      <c r="AE30" s="158">
        <v>33333</v>
      </c>
      <c r="AF30" s="158">
        <v>13650</v>
      </c>
      <c r="AG30" s="158"/>
      <c r="AH30" s="174">
        <f t="shared" si="220"/>
        <v>47707</v>
      </c>
      <c r="AI30" s="158">
        <v>35000</v>
      </c>
      <c r="AJ30" s="158">
        <v>12707</v>
      </c>
      <c r="AK30" s="158"/>
      <c r="AL30" s="174">
        <f t="shared" si="221"/>
        <v>61211</v>
      </c>
      <c r="AM30" s="158">
        <f>23864-6087</f>
        <v>17777</v>
      </c>
      <c r="AN30" s="158">
        <v>23780</v>
      </c>
      <c r="AO30" s="158">
        <f>6087+13567</f>
        <v>19654</v>
      </c>
      <c r="AP30" s="164">
        <f t="shared" si="222"/>
        <v>0</v>
      </c>
      <c r="AQ30" s="164"/>
      <c r="AR30" s="164"/>
      <c r="AS30" s="164"/>
      <c r="AT30" s="164">
        <f t="shared" si="223"/>
        <v>0</v>
      </c>
      <c r="AU30" s="164"/>
      <c r="AV30" s="164"/>
      <c r="AW30" s="164"/>
      <c r="AX30" s="164">
        <f t="shared" si="224"/>
        <v>0</v>
      </c>
      <c r="AY30" s="164"/>
      <c r="AZ30" s="164"/>
      <c r="BA30" s="164"/>
      <c r="BB30" s="159"/>
      <c r="BC30" s="164">
        <f t="shared" si="225"/>
        <v>0</v>
      </c>
      <c r="BD30" s="164"/>
      <c r="BE30" s="164"/>
      <c r="BF30" s="164"/>
      <c r="BG30" s="164">
        <f t="shared" si="226"/>
        <v>0</v>
      </c>
      <c r="BH30" s="164"/>
      <c r="BI30" s="164"/>
      <c r="BJ30" s="164"/>
      <c r="BK30" s="164"/>
      <c r="BL30" s="158"/>
      <c r="BM30" s="158"/>
      <c r="BN30" s="158"/>
      <c r="BO30" s="26">
        <f t="shared" si="212"/>
        <v>6</v>
      </c>
    </row>
    <row r="31" ht="15.75" customHeight="1" outlineLevel="1">
      <c r="A31" s="156"/>
      <c r="B31" s="160" t="s">
        <v>274</v>
      </c>
      <c r="C31" s="132" t="s">
        <v>272</v>
      </c>
      <c r="D31" s="157" t="s">
        <v>273</v>
      </c>
      <c r="E31" s="170">
        <v>70000</v>
      </c>
      <c r="F31" s="158">
        <f t="shared" si="213"/>
        <v>42435</v>
      </c>
      <c r="G31" s="158">
        <v>30000</v>
      </c>
      <c r="H31" s="158">
        <v>12435</v>
      </c>
      <c r="I31" s="158"/>
      <c r="J31" s="158">
        <f t="shared" si="214"/>
        <v>40451</v>
      </c>
      <c r="K31" s="158">
        <v>28512</v>
      </c>
      <c r="L31" s="158">
        <v>10451</v>
      </c>
      <c r="M31" s="158">
        <f>1488</f>
        <v>1488</v>
      </c>
      <c r="N31" s="158">
        <f t="shared" si="215"/>
        <v>54558</v>
      </c>
      <c r="O31" s="158">
        <v>30000</v>
      </c>
      <c r="P31" s="158">
        <v>24558</v>
      </c>
      <c r="Q31" s="158"/>
      <c r="R31" s="158">
        <f t="shared" si="216"/>
        <v>11741</v>
      </c>
      <c r="S31" s="158">
        <v>1429</v>
      </c>
      <c r="T31" s="158">
        <v>0</v>
      </c>
      <c r="U31" s="158">
        <v>10312</v>
      </c>
      <c r="V31" s="164">
        <f t="shared" si="217"/>
        <v>0</v>
      </c>
      <c r="W31" s="164"/>
      <c r="X31" s="164"/>
      <c r="Y31" s="164"/>
      <c r="Z31" s="164">
        <f t="shared" si="218"/>
        <v>0</v>
      </c>
      <c r="AA31" s="164"/>
      <c r="AB31" s="164"/>
      <c r="AC31" s="164"/>
      <c r="AD31" s="164">
        <f t="shared" si="219"/>
        <v>0</v>
      </c>
      <c r="AE31" s="164"/>
      <c r="AF31" s="164"/>
      <c r="AG31" s="164"/>
      <c r="AH31" s="164">
        <f t="shared" si="220"/>
        <v>0</v>
      </c>
      <c r="AI31" s="164"/>
      <c r="AJ31" s="164"/>
      <c r="AK31" s="164"/>
      <c r="AL31" s="164">
        <f t="shared" si="221"/>
        <v>0</v>
      </c>
      <c r="AM31" s="164"/>
      <c r="AN31" s="164"/>
      <c r="AO31" s="164"/>
      <c r="AP31" s="164">
        <f t="shared" si="222"/>
        <v>0</v>
      </c>
      <c r="AQ31" s="164"/>
      <c r="AR31" s="164"/>
      <c r="AS31" s="164"/>
      <c r="AT31" s="164">
        <f t="shared" si="223"/>
        <v>0</v>
      </c>
      <c r="AU31" s="164"/>
      <c r="AV31" s="164"/>
      <c r="AW31" s="164"/>
      <c r="AX31" s="164">
        <f t="shared" si="224"/>
        <v>0</v>
      </c>
      <c r="AY31" s="164"/>
      <c r="AZ31" s="164"/>
      <c r="BA31" s="164"/>
      <c r="BB31" s="159"/>
      <c r="BC31" s="164">
        <f t="shared" si="225"/>
        <v>0</v>
      </c>
      <c r="BD31" s="164"/>
      <c r="BE31" s="164"/>
      <c r="BF31" s="164"/>
      <c r="BG31" s="164">
        <f t="shared" si="226"/>
        <v>0</v>
      </c>
      <c r="BH31" s="164"/>
      <c r="BI31" s="164"/>
      <c r="BJ31" s="164"/>
      <c r="BK31" s="164"/>
      <c r="BL31" s="158"/>
      <c r="BM31" s="158"/>
      <c r="BN31" s="158"/>
      <c r="BO31" s="26">
        <f t="shared" si="212"/>
        <v>6</v>
      </c>
    </row>
    <row r="32" ht="15.75" customHeight="1" outlineLevel="1">
      <c r="A32" s="156"/>
      <c r="B32" s="160" t="s">
        <v>275</v>
      </c>
      <c r="C32" s="132" t="s">
        <v>272</v>
      </c>
      <c r="D32" s="157" t="s">
        <v>273</v>
      </c>
      <c r="E32" s="170">
        <v>70000</v>
      </c>
      <c r="F32" s="158">
        <f t="shared" si="213"/>
        <v>54917.739999999998</v>
      </c>
      <c r="G32" s="158">
        <v>26250</v>
      </c>
      <c r="H32" s="158">
        <v>16461</v>
      </c>
      <c r="I32" s="158">
        <v>12206.74</v>
      </c>
      <c r="J32" s="164">
        <f t="shared" si="214"/>
        <v>0</v>
      </c>
      <c r="K32" s="164"/>
      <c r="L32" s="164"/>
      <c r="M32" s="164"/>
      <c r="N32" s="164">
        <f t="shared" si="215"/>
        <v>0</v>
      </c>
      <c r="O32" s="164"/>
      <c r="P32" s="164"/>
      <c r="Q32" s="164"/>
      <c r="R32" s="164">
        <f t="shared" si="216"/>
        <v>0</v>
      </c>
      <c r="S32" s="164"/>
      <c r="T32" s="164"/>
      <c r="U32" s="164"/>
      <c r="V32" s="164">
        <f t="shared" si="217"/>
        <v>0</v>
      </c>
      <c r="W32" s="164"/>
      <c r="X32" s="164"/>
      <c r="Y32" s="164"/>
      <c r="Z32" s="164">
        <f t="shared" si="218"/>
        <v>0</v>
      </c>
      <c r="AA32" s="164"/>
      <c r="AB32" s="164"/>
      <c r="AC32" s="164"/>
      <c r="AD32" s="164">
        <f t="shared" si="219"/>
        <v>0</v>
      </c>
      <c r="AE32" s="164"/>
      <c r="AF32" s="164"/>
      <c r="AG32" s="164"/>
      <c r="AH32" s="164">
        <f t="shared" si="220"/>
        <v>0</v>
      </c>
      <c r="AI32" s="164"/>
      <c r="AJ32" s="164"/>
      <c r="AK32" s="164"/>
      <c r="AL32" s="164">
        <f t="shared" si="221"/>
        <v>0</v>
      </c>
      <c r="AM32" s="164"/>
      <c r="AN32" s="164"/>
      <c r="AO32" s="164"/>
      <c r="AP32" s="164">
        <f t="shared" si="222"/>
        <v>0</v>
      </c>
      <c r="AQ32" s="164"/>
      <c r="AR32" s="164"/>
      <c r="AS32" s="164"/>
      <c r="AT32" s="164">
        <f t="shared" si="223"/>
        <v>0</v>
      </c>
      <c r="AU32" s="164"/>
      <c r="AV32" s="164"/>
      <c r="AW32" s="164"/>
      <c r="AX32" s="164">
        <f t="shared" si="224"/>
        <v>0</v>
      </c>
      <c r="AY32" s="164"/>
      <c r="AZ32" s="164"/>
      <c r="BA32" s="164"/>
      <c r="BB32" s="159"/>
      <c r="BC32" s="164">
        <f t="shared" si="225"/>
        <v>0</v>
      </c>
      <c r="BD32" s="164"/>
      <c r="BE32" s="164"/>
      <c r="BF32" s="164"/>
      <c r="BG32" s="164">
        <f t="shared" si="226"/>
        <v>0</v>
      </c>
      <c r="BH32" s="164"/>
      <c r="BI32" s="164"/>
      <c r="BJ32" s="164"/>
      <c r="BK32" s="164"/>
      <c r="BL32" s="158"/>
      <c r="BM32" s="158"/>
      <c r="BN32" s="158"/>
      <c r="BO32" s="26">
        <f t="shared" si="212"/>
        <v>6</v>
      </c>
    </row>
    <row r="33" ht="15.75" customHeight="1" outlineLevel="1">
      <c r="A33" s="156"/>
      <c r="B33" s="160" t="s">
        <v>276</v>
      </c>
      <c r="C33" s="132" t="s">
        <v>269</v>
      </c>
      <c r="D33" s="157" t="s">
        <v>270</v>
      </c>
      <c r="E33" s="170">
        <v>50000</v>
      </c>
      <c r="F33" s="158">
        <f t="shared" si="213"/>
        <v>34919</v>
      </c>
      <c r="G33" s="158">
        <v>30000</v>
      </c>
      <c r="H33" s="158">
        <v>4919</v>
      </c>
      <c r="I33" s="158"/>
      <c r="J33" s="158">
        <f t="shared" si="214"/>
        <v>37851</v>
      </c>
      <c r="K33" s="158">
        <v>30000</v>
      </c>
      <c r="L33" s="158">
        <v>7851</v>
      </c>
      <c r="M33" s="158"/>
      <c r="N33" s="158">
        <f t="shared" si="215"/>
        <v>53295.860000000001</v>
      </c>
      <c r="O33" s="158">
        <v>30000</v>
      </c>
      <c r="P33" s="158">
        <v>6083</v>
      </c>
      <c r="Q33" s="158">
        <v>17212.860000000001</v>
      </c>
      <c r="R33" s="158">
        <f t="shared" si="216"/>
        <v>35826</v>
      </c>
      <c r="S33" s="158">
        <v>27143</v>
      </c>
      <c r="T33" s="158">
        <v>8683</v>
      </c>
      <c r="U33" s="158"/>
      <c r="V33" s="158">
        <f t="shared" si="217"/>
        <v>34985</v>
      </c>
      <c r="W33" s="158">
        <v>30000</v>
      </c>
      <c r="X33" s="158">
        <v>4985</v>
      </c>
      <c r="Y33" s="158"/>
      <c r="Z33" s="158">
        <f t="shared" si="218"/>
        <v>32579</v>
      </c>
      <c r="AA33" s="158">
        <v>27143</v>
      </c>
      <c r="AB33" s="158">
        <v>5436</v>
      </c>
      <c r="AC33" s="158"/>
      <c r="AD33" s="164">
        <f t="shared" si="219"/>
        <v>0</v>
      </c>
      <c r="AE33" s="164"/>
      <c r="AF33" s="164"/>
      <c r="AG33" s="164"/>
      <c r="AH33" s="164">
        <f t="shared" si="220"/>
        <v>0</v>
      </c>
      <c r="AI33" s="164"/>
      <c r="AJ33" s="164"/>
      <c r="AK33" s="164"/>
      <c r="AL33" s="164">
        <f t="shared" si="221"/>
        <v>0</v>
      </c>
      <c r="AM33" s="164"/>
      <c r="AN33" s="164"/>
      <c r="AO33" s="164"/>
      <c r="AP33" s="164">
        <f t="shared" si="222"/>
        <v>0</v>
      </c>
      <c r="AQ33" s="164"/>
      <c r="AR33" s="164"/>
      <c r="AS33" s="164"/>
      <c r="AT33" s="164">
        <f t="shared" si="223"/>
        <v>0</v>
      </c>
      <c r="AU33" s="164"/>
      <c r="AV33" s="164"/>
      <c r="AW33" s="164"/>
      <c r="AX33" s="164">
        <f t="shared" si="224"/>
        <v>0</v>
      </c>
      <c r="AY33" s="164"/>
      <c r="AZ33" s="164"/>
      <c r="BA33" s="164"/>
      <c r="BB33" s="159"/>
      <c r="BC33" s="164">
        <f t="shared" si="225"/>
        <v>0</v>
      </c>
      <c r="BD33" s="164"/>
      <c r="BE33" s="164"/>
      <c r="BF33" s="164"/>
      <c r="BG33" s="164">
        <f t="shared" si="226"/>
        <v>0</v>
      </c>
      <c r="BH33" s="164"/>
      <c r="BI33" s="164"/>
      <c r="BJ33" s="164"/>
      <c r="BK33" s="164"/>
      <c r="BL33" s="158"/>
      <c r="BM33" s="158"/>
      <c r="BN33" s="158"/>
      <c r="BO33" s="26">
        <f t="shared" si="212"/>
        <v>6</v>
      </c>
    </row>
    <row r="34" ht="15.75" customHeight="1" outlineLevel="1">
      <c r="A34" s="156"/>
      <c r="B34" s="160" t="s">
        <v>277</v>
      </c>
      <c r="C34" s="132" t="s">
        <v>269</v>
      </c>
      <c r="D34" s="157" t="s">
        <v>270</v>
      </c>
      <c r="E34" s="170">
        <v>50000</v>
      </c>
      <c r="F34" s="158">
        <f t="shared" si="213"/>
        <v>32731</v>
      </c>
      <c r="G34" s="158">
        <v>30000</v>
      </c>
      <c r="H34" s="158">
        <v>2731</v>
      </c>
      <c r="I34" s="158"/>
      <c r="J34" s="158">
        <f t="shared" si="214"/>
        <v>35383</v>
      </c>
      <c r="K34" s="158">
        <v>30000</v>
      </c>
      <c r="L34" s="158">
        <v>5383</v>
      </c>
      <c r="M34" s="158"/>
      <c r="N34" s="158">
        <f t="shared" si="215"/>
        <v>34896</v>
      </c>
      <c r="O34" s="158">
        <v>30000</v>
      </c>
      <c r="P34" s="158">
        <v>4896</v>
      </c>
      <c r="Q34" s="158"/>
      <c r="R34" s="158">
        <f t="shared" si="216"/>
        <v>49142</v>
      </c>
      <c r="S34" s="158">
        <v>28571</v>
      </c>
      <c r="T34" s="158">
        <f>5209+1429</f>
        <v>6638</v>
      </c>
      <c r="U34" s="158">
        <v>13933</v>
      </c>
      <c r="V34" s="158">
        <f t="shared" si="217"/>
        <v>39007</v>
      </c>
      <c r="W34" s="158">
        <v>30000</v>
      </c>
      <c r="X34" s="158">
        <v>9007</v>
      </c>
      <c r="Y34" s="158"/>
      <c r="Z34" s="158">
        <f t="shared" si="218"/>
        <v>35396</v>
      </c>
      <c r="AA34" s="158">
        <v>27143</v>
      </c>
      <c r="AB34" s="158">
        <v>8253</v>
      </c>
      <c r="AC34" s="158"/>
      <c r="AD34" s="158">
        <f t="shared" si="219"/>
        <v>32181</v>
      </c>
      <c r="AE34" s="158">
        <v>28571</v>
      </c>
      <c r="AF34" s="158">
        <v>3610</v>
      </c>
      <c r="AG34" s="158"/>
      <c r="AH34" s="158">
        <f t="shared" si="220"/>
        <v>40217</v>
      </c>
      <c r="AI34" s="158">
        <v>30000</v>
      </c>
      <c r="AJ34" s="158">
        <v>10217</v>
      </c>
      <c r="AK34" s="158"/>
      <c r="AL34" s="158">
        <f t="shared" si="221"/>
        <v>38640</v>
      </c>
      <c r="AM34" s="158">
        <v>28636</v>
      </c>
      <c r="AN34" s="158">
        <v>10004</v>
      </c>
      <c r="AO34" s="158"/>
      <c r="AP34" s="166">
        <f t="shared" si="222"/>
        <v>58286</v>
      </c>
      <c r="AQ34" s="166">
        <v>27143</v>
      </c>
      <c r="AR34" s="166">
        <v>29172</v>
      </c>
      <c r="AS34" s="166">
        <v>1971</v>
      </c>
      <c r="AT34" s="166">
        <f t="shared" si="223"/>
        <v>58389</v>
      </c>
      <c r="AU34" s="166">
        <v>30000</v>
      </c>
      <c r="AV34" s="166">
        <v>28389</v>
      </c>
      <c r="AW34" s="166"/>
      <c r="AX34" s="166">
        <f t="shared" si="224"/>
        <v>52944</v>
      </c>
      <c r="AY34" s="166">
        <v>28636</v>
      </c>
      <c r="AZ34" s="166">
        <v>24308</v>
      </c>
      <c r="BA34" s="166"/>
      <c r="BB34" s="166"/>
      <c r="BC34" s="166">
        <f t="shared" si="225"/>
        <v>58466</v>
      </c>
      <c r="BD34" s="158">
        <v>21176</v>
      </c>
      <c r="BE34" s="158">
        <v>20133</v>
      </c>
      <c r="BF34" s="158">
        <v>17157</v>
      </c>
      <c r="BG34" s="172">
        <f t="shared" si="226"/>
        <v>32662</v>
      </c>
      <c r="BH34" s="158">
        <v>21667</v>
      </c>
      <c r="BI34" s="158">
        <v>10995</v>
      </c>
      <c r="BJ34" s="158"/>
      <c r="BK34" s="158"/>
      <c r="BL34" s="158"/>
      <c r="BM34" s="158"/>
      <c r="BN34" s="158"/>
      <c r="BO34" s="26">
        <f t="shared" si="212"/>
        <v>6</v>
      </c>
    </row>
    <row r="35" ht="15.75" customHeight="1" outlineLevel="1">
      <c r="A35" s="156"/>
      <c r="B35" s="160" t="s">
        <v>278</v>
      </c>
      <c r="C35" s="132" t="s">
        <v>279</v>
      </c>
      <c r="D35" s="157" t="s">
        <v>273</v>
      </c>
      <c r="E35" s="170">
        <v>70000</v>
      </c>
      <c r="F35" s="164">
        <f t="shared" si="213"/>
        <v>0</v>
      </c>
      <c r="G35" s="164"/>
      <c r="H35" s="164"/>
      <c r="I35" s="164"/>
      <c r="J35" s="164">
        <f t="shared" si="214"/>
        <v>0</v>
      </c>
      <c r="K35" s="164"/>
      <c r="L35" s="164"/>
      <c r="M35" s="164"/>
      <c r="N35" s="164">
        <f t="shared" si="215"/>
        <v>0</v>
      </c>
      <c r="O35" s="164"/>
      <c r="P35" s="164"/>
      <c r="Q35" s="164"/>
      <c r="R35" s="164">
        <f t="shared" si="216"/>
        <v>0</v>
      </c>
      <c r="S35" s="164"/>
      <c r="T35" s="164"/>
      <c r="U35" s="164"/>
      <c r="V35" s="164">
        <f t="shared" si="217"/>
        <v>0</v>
      </c>
      <c r="W35" s="164"/>
      <c r="X35" s="164"/>
      <c r="Y35" s="164"/>
      <c r="Z35" s="164">
        <f t="shared" si="218"/>
        <v>0</v>
      </c>
      <c r="AA35" s="164"/>
      <c r="AB35" s="164"/>
      <c r="AC35" s="164"/>
      <c r="AD35" s="164">
        <f t="shared" si="219"/>
        <v>0</v>
      </c>
      <c r="AE35" s="164"/>
      <c r="AF35" s="164"/>
      <c r="AG35" s="164"/>
      <c r="AH35" s="164">
        <f t="shared" si="220"/>
        <v>0</v>
      </c>
      <c r="AI35" s="164"/>
      <c r="AJ35" s="164"/>
      <c r="AK35" s="164"/>
      <c r="AL35" s="164">
        <f t="shared" si="221"/>
        <v>0</v>
      </c>
      <c r="AM35" s="164"/>
      <c r="AN35" s="164"/>
      <c r="AO35" s="164"/>
      <c r="AP35" s="175" t="s">
        <v>280</v>
      </c>
      <c r="AQ35" s="175" t="s">
        <v>281</v>
      </c>
      <c r="AR35" s="175" t="s">
        <v>282</v>
      </c>
      <c r="AS35" s="175"/>
      <c r="AT35" s="175" t="s">
        <v>283</v>
      </c>
      <c r="AU35" s="175" t="s">
        <v>284</v>
      </c>
      <c r="AV35" s="175"/>
      <c r="AW35" s="175"/>
      <c r="AX35" s="175" t="s">
        <v>282</v>
      </c>
      <c r="AY35" s="175"/>
      <c r="AZ35" s="175"/>
      <c r="BA35" s="175"/>
      <c r="BB35" s="175"/>
      <c r="BC35" s="176" t="s">
        <v>283</v>
      </c>
      <c r="BD35" s="177"/>
      <c r="BE35" s="177"/>
      <c r="BF35" s="177"/>
      <c r="BG35" s="175" t="s">
        <v>284</v>
      </c>
      <c r="BH35" s="158">
        <v>40000</v>
      </c>
      <c r="BI35" s="158">
        <v>3219</v>
      </c>
      <c r="BJ35" s="158"/>
      <c r="BK35" s="158"/>
      <c r="BL35" s="158"/>
      <c r="BM35" s="158"/>
      <c r="BN35" s="158"/>
      <c r="BO35" s="26">
        <f t="shared" si="212"/>
        <v>1</v>
      </c>
    </row>
    <row r="36" ht="15.75" customHeight="1" outlineLevel="1">
      <c r="A36" s="156"/>
      <c r="B36" s="160" t="s">
        <v>285</v>
      </c>
      <c r="C36" s="132" t="s">
        <v>272</v>
      </c>
      <c r="D36" s="157" t="s">
        <v>273</v>
      </c>
      <c r="E36" s="170">
        <v>70000</v>
      </c>
      <c r="F36" s="164">
        <f t="shared" si="213"/>
        <v>0</v>
      </c>
      <c r="G36" s="164"/>
      <c r="H36" s="164"/>
      <c r="I36" s="164"/>
      <c r="J36" s="164">
        <f t="shared" si="214"/>
        <v>0</v>
      </c>
      <c r="K36" s="164"/>
      <c r="L36" s="164"/>
      <c r="M36" s="164"/>
      <c r="N36" s="164">
        <f t="shared" si="215"/>
        <v>0</v>
      </c>
      <c r="O36" s="164"/>
      <c r="P36" s="164"/>
      <c r="Q36" s="164"/>
      <c r="R36" s="164">
        <f t="shared" si="216"/>
        <v>0</v>
      </c>
      <c r="S36" s="164"/>
      <c r="T36" s="164"/>
      <c r="U36" s="164"/>
      <c r="V36" s="174">
        <f t="shared" si="217"/>
        <v>35000</v>
      </c>
      <c r="W36" s="158">
        <v>30000</v>
      </c>
      <c r="X36" s="158">
        <v>5000</v>
      </c>
      <c r="Y36" s="158"/>
      <c r="Z36" s="174">
        <f t="shared" si="218"/>
        <v>29771</v>
      </c>
      <c r="AA36" s="158">
        <v>25714</v>
      </c>
      <c r="AB36" s="158">
        <v>4057</v>
      </c>
      <c r="AC36" s="158"/>
      <c r="AD36" s="174">
        <f t="shared" si="219"/>
        <v>38695</v>
      </c>
      <c r="AE36" s="158">
        <v>28571</v>
      </c>
      <c r="AF36" s="158">
        <v>10124</v>
      </c>
      <c r="AG36" s="158"/>
      <c r="AH36" s="174">
        <f t="shared" si="220"/>
        <v>43296</v>
      </c>
      <c r="AI36" s="158">
        <v>30000</v>
      </c>
      <c r="AJ36" s="158">
        <v>13296</v>
      </c>
      <c r="AK36" s="158"/>
      <c r="AL36" s="174">
        <f t="shared" si="221"/>
        <v>35720</v>
      </c>
      <c r="AM36" s="158">
        <v>30000</v>
      </c>
      <c r="AN36" s="158">
        <v>5720</v>
      </c>
      <c r="AO36" s="158"/>
      <c r="AP36" s="178" t="s">
        <v>286</v>
      </c>
      <c r="AQ36" s="179" t="s">
        <v>287</v>
      </c>
      <c r="AR36" s="179" t="s">
        <v>288</v>
      </c>
      <c r="AS36" s="179"/>
      <c r="AT36" s="178" t="s">
        <v>287</v>
      </c>
      <c r="AU36" s="178">
        <v>40000</v>
      </c>
      <c r="AV36" s="178">
        <v>410</v>
      </c>
      <c r="AW36" s="178"/>
      <c r="AX36" s="178" t="s">
        <v>288</v>
      </c>
      <c r="AY36" s="179">
        <v>40000</v>
      </c>
      <c r="AZ36" s="179">
        <v>8146</v>
      </c>
      <c r="BA36" s="179"/>
      <c r="BB36" s="180"/>
      <c r="BC36" s="181" t="s">
        <v>289</v>
      </c>
      <c r="BD36" s="181">
        <v>40000</v>
      </c>
      <c r="BE36" s="181">
        <v>459</v>
      </c>
      <c r="BF36" s="181"/>
      <c r="BG36" s="181" t="s">
        <v>290</v>
      </c>
      <c r="BH36" s="158">
        <v>26667</v>
      </c>
      <c r="BI36" s="158">
        <v>22081</v>
      </c>
      <c r="BJ36" s="158">
        <v>3333</v>
      </c>
      <c r="BK36" s="158"/>
      <c r="BL36" s="158"/>
      <c r="BM36" s="158"/>
      <c r="BN36" s="158"/>
      <c r="BO36" s="26">
        <f t="shared" si="212"/>
        <v>1</v>
      </c>
    </row>
    <row r="37" ht="15.75" customHeight="1" outlineLevel="1">
      <c r="A37" s="156"/>
      <c r="B37" s="160" t="s">
        <v>291</v>
      </c>
      <c r="C37" s="132" t="s">
        <v>269</v>
      </c>
      <c r="D37" s="157" t="s">
        <v>270</v>
      </c>
      <c r="E37" s="170">
        <v>50000</v>
      </c>
      <c r="F37" s="164">
        <f t="shared" si="213"/>
        <v>0</v>
      </c>
      <c r="G37" s="164"/>
      <c r="H37" s="164"/>
      <c r="I37" s="164"/>
      <c r="J37" s="164">
        <f t="shared" si="214"/>
        <v>0</v>
      </c>
      <c r="K37" s="164"/>
      <c r="L37" s="164"/>
      <c r="M37" s="164"/>
      <c r="N37" s="164">
        <f t="shared" si="215"/>
        <v>0</v>
      </c>
      <c r="O37" s="164"/>
      <c r="P37" s="164"/>
      <c r="Q37" s="164"/>
      <c r="R37" s="164">
        <f t="shared" si="216"/>
        <v>0</v>
      </c>
      <c r="S37" s="164"/>
      <c r="T37" s="164"/>
      <c r="U37" s="164"/>
      <c r="V37" s="164">
        <f t="shared" si="217"/>
        <v>0</v>
      </c>
      <c r="W37" s="164"/>
      <c r="X37" s="164"/>
      <c r="Y37" s="164"/>
      <c r="Z37" s="164">
        <f t="shared" si="218"/>
        <v>0</v>
      </c>
      <c r="AA37" s="164"/>
      <c r="AB37" s="164"/>
      <c r="AC37" s="164"/>
      <c r="AD37" s="164">
        <f t="shared" si="219"/>
        <v>0</v>
      </c>
      <c r="AE37" s="164"/>
      <c r="AF37" s="164"/>
      <c r="AG37" s="164"/>
      <c r="AH37" s="164">
        <f t="shared" si="220"/>
        <v>0</v>
      </c>
      <c r="AI37" s="164"/>
      <c r="AJ37" s="164"/>
      <c r="AK37" s="164"/>
      <c r="AL37" s="164">
        <f t="shared" si="221"/>
        <v>0</v>
      </c>
      <c r="AM37" s="164"/>
      <c r="AN37" s="164"/>
      <c r="AO37" s="164"/>
      <c r="AP37" s="164">
        <f t="shared" si="222"/>
        <v>0</v>
      </c>
      <c r="AQ37" s="164"/>
      <c r="AR37" s="164"/>
      <c r="AS37" s="164"/>
      <c r="AT37" s="172">
        <f t="shared" si="223"/>
        <v>24286</v>
      </c>
      <c r="AU37" s="172">
        <v>24286</v>
      </c>
      <c r="AV37" s="172"/>
      <c r="AW37" s="172"/>
      <c r="AX37" s="172">
        <f t="shared" si="224"/>
        <v>30405</v>
      </c>
      <c r="AY37" s="172">
        <v>30000</v>
      </c>
      <c r="AZ37" s="172">
        <v>405</v>
      </c>
      <c r="BA37" s="172"/>
      <c r="BB37" s="172"/>
      <c r="BC37" s="172">
        <f t="shared" si="225"/>
        <v>30425</v>
      </c>
      <c r="BD37" s="172">
        <v>30000</v>
      </c>
      <c r="BE37" s="172">
        <v>425</v>
      </c>
      <c r="BF37" s="172"/>
      <c r="BG37" s="172">
        <f t="shared" si="226"/>
        <v>35480</v>
      </c>
      <c r="BH37" s="158">
        <v>5000</v>
      </c>
      <c r="BI37" s="158">
        <v>830</v>
      </c>
      <c r="BJ37" s="158">
        <f>23850+1740+4060</f>
        <v>29650</v>
      </c>
      <c r="BK37" s="158"/>
      <c r="BL37" s="158"/>
      <c r="BM37" s="158"/>
      <c r="BN37" s="158"/>
      <c r="BO37" s="26">
        <f t="shared" si="212"/>
        <v>6</v>
      </c>
    </row>
    <row r="38" ht="15.75" customHeight="1" outlineLevel="1">
      <c r="A38" s="156"/>
      <c r="B38" s="160" t="s">
        <v>292</v>
      </c>
      <c r="C38" s="132" t="s">
        <v>269</v>
      </c>
      <c r="D38" s="157" t="s">
        <v>270</v>
      </c>
      <c r="E38" s="170">
        <v>50000</v>
      </c>
      <c r="F38" s="164">
        <f t="shared" si="213"/>
        <v>0</v>
      </c>
      <c r="G38" s="164"/>
      <c r="H38" s="164"/>
      <c r="I38" s="164"/>
      <c r="J38" s="164">
        <f t="shared" si="214"/>
        <v>0</v>
      </c>
      <c r="K38" s="164"/>
      <c r="L38" s="164"/>
      <c r="M38" s="164"/>
      <c r="N38" s="164">
        <f t="shared" si="215"/>
        <v>0</v>
      </c>
      <c r="O38" s="164"/>
      <c r="P38" s="164"/>
      <c r="Q38" s="164"/>
      <c r="R38" s="164">
        <f t="shared" si="216"/>
        <v>0</v>
      </c>
      <c r="S38" s="164"/>
      <c r="T38" s="164"/>
      <c r="U38" s="164"/>
      <c r="V38" s="164">
        <f t="shared" si="217"/>
        <v>0</v>
      </c>
      <c r="W38" s="164"/>
      <c r="X38" s="164"/>
      <c r="Y38" s="164"/>
      <c r="Z38" s="164">
        <f t="shared" si="218"/>
        <v>0</v>
      </c>
      <c r="AA38" s="164"/>
      <c r="AB38" s="164"/>
      <c r="AC38" s="164"/>
      <c r="AD38" s="164">
        <f t="shared" si="219"/>
        <v>0</v>
      </c>
      <c r="AE38" s="164"/>
      <c r="AF38" s="164"/>
      <c r="AG38" s="164"/>
      <c r="AH38" s="164">
        <f t="shared" si="220"/>
        <v>0</v>
      </c>
      <c r="AI38" s="164"/>
      <c r="AJ38" s="164"/>
      <c r="AK38" s="164"/>
      <c r="AL38" s="164">
        <f t="shared" si="221"/>
        <v>0</v>
      </c>
      <c r="AM38" s="164"/>
      <c r="AN38" s="164"/>
      <c r="AO38" s="164"/>
      <c r="AP38" s="164">
        <f t="shared" si="222"/>
        <v>0</v>
      </c>
      <c r="AQ38" s="164"/>
      <c r="AR38" s="164"/>
      <c r="AS38" s="164"/>
      <c r="AT38" s="164">
        <f t="shared" si="223"/>
        <v>0</v>
      </c>
      <c r="AU38" s="164"/>
      <c r="AV38" s="164"/>
      <c r="AW38" s="164"/>
      <c r="AX38" s="164">
        <f t="shared" si="224"/>
        <v>0</v>
      </c>
      <c r="AY38" s="164"/>
      <c r="AZ38" s="164"/>
      <c r="BA38" s="164"/>
      <c r="BB38" s="159"/>
      <c r="BC38" s="164">
        <f t="shared" si="225"/>
        <v>0</v>
      </c>
      <c r="BD38" s="164"/>
      <c r="BE38" s="164"/>
      <c r="BF38" s="164"/>
      <c r="BG38" s="172">
        <f t="shared" si="226"/>
        <v>31306</v>
      </c>
      <c r="BH38" s="158">
        <v>30000</v>
      </c>
      <c r="BI38" s="158">
        <v>1306</v>
      </c>
      <c r="BJ38" s="158"/>
      <c r="BK38" s="158"/>
      <c r="BL38" s="158"/>
      <c r="BM38" s="158"/>
      <c r="BN38" s="158"/>
      <c r="BO38" s="26">
        <f t="shared" si="212"/>
        <v>6</v>
      </c>
    </row>
    <row r="39" ht="15.75" customHeight="1" outlineLevel="1">
      <c r="A39" s="156"/>
      <c r="B39" s="160" t="s">
        <v>293</v>
      </c>
      <c r="C39" s="132" t="s">
        <v>269</v>
      </c>
      <c r="D39" s="157" t="s">
        <v>270</v>
      </c>
      <c r="E39" s="170">
        <v>50000</v>
      </c>
      <c r="F39" s="158">
        <f t="shared" si="213"/>
        <v>35064</v>
      </c>
      <c r="G39" s="158">
        <v>30000</v>
      </c>
      <c r="H39" s="158">
        <v>5064</v>
      </c>
      <c r="I39" s="158"/>
      <c r="J39" s="158">
        <f t="shared" si="214"/>
        <v>38603</v>
      </c>
      <c r="K39" s="158">
        <v>30000</v>
      </c>
      <c r="L39" s="158">
        <v>8603</v>
      </c>
      <c r="M39" s="158"/>
      <c r="N39" s="158">
        <f t="shared" si="215"/>
        <v>38678</v>
      </c>
      <c r="O39" s="158">
        <v>30000</v>
      </c>
      <c r="P39" s="158">
        <v>8678</v>
      </c>
      <c r="Q39" s="158"/>
      <c r="R39" s="158">
        <f t="shared" si="216"/>
        <v>34532</v>
      </c>
      <c r="S39" s="158">
        <v>28571</v>
      </c>
      <c r="T39" s="158">
        <f>4532+1429</f>
        <v>5961</v>
      </c>
      <c r="U39" s="158"/>
      <c r="V39" s="158">
        <f t="shared" si="217"/>
        <v>48726</v>
      </c>
      <c r="W39" s="158">
        <v>25000</v>
      </c>
      <c r="X39" s="158">
        <v>7624</v>
      </c>
      <c r="Y39" s="158">
        <v>16102</v>
      </c>
      <c r="Z39" s="158">
        <f t="shared" si="218"/>
        <v>34581</v>
      </c>
      <c r="AA39" s="158">
        <v>27143</v>
      </c>
      <c r="AB39" s="158">
        <v>7438</v>
      </c>
      <c r="AC39" s="158"/>
      <c r="AD39" s="158">
        <f t="shared" si="219"/>
        <v>12160</v>
      </c>
      <c r="AE39" s="158">
        <v>3000</v>
      </c>
      <c r="AF39" s="158">
        <v>9160</v>
      </c>
      <c r="AG39" s="158"/>
      <c r="AH39" s="158">
        <f t="shared" si="220"/>
        <v>43432</v>
      </c>
      <c r="AI39" s="158">
        <v>30000</v>
      </c>
      <c r="AJ39" s="158">
        <v>13432</v>
      </c>
      <c r="AK39" s="158"/>
      <c r="AL39" s="158">
        <f t="shared" si="221"/>
        <v>39877</v>
      </c>
      <c r="AM39" s="158">
        <v>30000</v>
      </c>
      <c r="AN39" s="158">
        <v>9877</v>
      </c>
      <c r="AO39" s="158"/>
      <c r="AP39" s="166">
        <f t="shared" si="222"/>
        <v>52383</v>
      </c>
      <c r="AQ39" s="166">
        <v>30000</v>
      </c>
      <c r="AR39" s="166">
        <v>22383</v>
      </c>
      <c r="AS39" s="166"/>
      <c r="AT39" s="166">
        <f t="shared" si="223"/>
        <v>51470</v>
      </c>
      <c r="AU39" s="166">
        <v>30000</v>
      </c>
      <c r="AV39" s="166">
        <v>21470</v>
      </c>
      <c r="AW39" s="166"/>
      <c r="AX39" s="166">
        <f t="shared" si="224"/>
        <v>52619</v>
      </c>
      <c r="AY39" s="158">
        <v>30000</v>
      </c>
      <c r="AZ39" s="158">
        <v>22619</v>
      </c>
      <c r="BA39" s="158"/>
      <c r="BB39" s="159"/>
      <c r="BC39" s="172">
        <f t="shared" si="225"/>
        <v>36140</v>
      </c>
      <c r="BD39" s="158">
        <v>30000</v>
      </c>
      <c r="BE39" s="158">
        <v>6140</v>
      </c>
      <c r="BF39" s="158"/>
      <c r="BG39" s="172">
        <f t="shared" si="226"/>
        <v>34560</v>
      </c>
      <c r="BH39" s="158">
        <v>30000</v>
      </c>
      <c r="BI39" s="158">
        <v>4560</v>
      </c>
      <c r="BJ39" s="158"/>
      <c r="BK39" s="158"/>
      <c r="BL39" s="158"/>
      <c r="BM39" s="158"/>
      <c r="BN39" s="158"/>
      <c r="BO39" s="26">
        <f t="shared" si="212"/>
        <v>6</v>
      </c>
    </row>
    <row r="40" ht="15.75" customHeight="1">
      <c r="A40" s="156" t="s">
        <v>153</v>
      </c>
      <c r="B40" s="131"/>
      <c r="C40" s="132"/>
      <c r="D40" s="157"/>
      <c r="E40" s="170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9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</row>
    <row r="41" ht="15.75" customHeight="1" outlineLevel="1">
      <c r="A41" s="156"/>
      <c r="B41" s="160" t="s">
        <v>294</v>
      </c>
      <c r="C41" s="132" t="s">
        <v>295</v>
      </c>
      <c r="D41" s="157" t="s">
        <v>296</v>
      </c>
      <c r="E41" s="170">
        <v>80000</v>
      </c>
      <c r="F41" s="158">
        <v>31140</v>
      </c>
      <c r="G41" s="158">
        <f>F41-H41</f>
        <v>25000</v>
      </c>
      <c r="H41" s="158">
        <v>6140</v>
      </c>
      <c r="I41" s="158"/>
      <c r="J41" s="158">
        <v>29488.110000000001</v>
      </c>
      <c r="K41" s="158">
        <f>J41-L41</f>
        <v>25842.110000000001</v>
      </c>
      <c r="L41" s="158">
        <v>3646</v>
      </c>
      <c r="M41" s="158"/>
      <c r="N41" s="158">
        <v>30964.220000000001</v>
      </c>
      <c r="O41" s="158">
        <f>N41-P41</f>
        <v>28031.220000000001</v>
      </c>
      <c r="P41" s="158">
        <v>2933</v>
      </c>
      <c r="Q41" s="158"/>
      <c r="R41" s="158">
        <v>39984</v>
      </c>
      <c r="S41" s="158">
        <f>R41-T41</f>
        <v>35000</v>
      </c>
      <c r="T41" s="158">
        <v>4984</v>
      </c>
      <c r="U41" s="158"/>
      <c r="V41" s="158">
        <v>22323.299999999999</v>
      </c>
      <c r="W41" s="158">
        <f>V41-X41</f>
        <v>19979.299999999999</v>
      </c>
      <c r="X41" s="158">
        <v>2344</v>
      </c>
      <c r="Y41" s="158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59"/>
      <c r="BC41" s="164"/>
      <c r="BD41" s="164"/>
      <c r="BE41" s="164"/>
      <c r="BF41" s="164"/>
      <c r="BG41" s="164"/>
      <c r="BH41" s="158"/>
      <c r="BI41" s="158"/>
      <c r="BJ41" s="158"/>
      <c r="BK41" s="164"/>
      <c r="BL41" s="158"/>
      <c r="BM41" s="158"/>
      <c r="BN41" s="158"/>
      <c r="BO41" s="26">
        <f t="shared" si="212"/>
        <v>0</v>
      </c>
    </row>
    <row r="42" ht="15.75" customHeight="1" outlineLevel="1">
      <c r="A42" s="156"/>
      <c r="B42" s="160" t="s">
        <v>297</v>
      </c>
      <c r="C42" s="132" t="s">
        <v>298</v>
      </c>
      <c r="D42" s="157" t="s">
        <v>299</v>
      </c>
      <c r="E42" s="170">
        <v>60000</v>
      </c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58"/>
      <c r="T42" s="158"/>
      <c r="U42" s="158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58"/>
      <c r="AR42" s="158"/>
      <c r="AS42" s="158"/>
      <c r="AT42" s="172">
        <v>28541.73</v>
      </c>
      <c r="AU42" s="172"/>
      <c r="AV42" s="172"/>
      <c r="AW42" s="172"/>
      <c r="AX42" s="172">
        <v>30000</v>
      </c>
      <c r="AY42" s="172"/>
      <c r="AZ42" s="172"/>
      <c r="BA42" s="172"/>
      <c r="BB42" s="172"/>
      <c r="BC42" s="172">
        <v>37000</v>
      </c>
      <c r="BD42" s="158"/>
      <c r="BE42" s="158"/>
      <c r="BF42" s="158"/>
      <c r="BG42" s="164"/>
      <c r="BH42" s="164"/>
      <c r="BI42" s="164"/>
      <c r="BJ42" s="164"/>
      <c r="BK42" s="164"/>
      <c r="BL42" s="158"/>
      <c r="BM42" s="158"/>
      <c r="BN42" s="158"/>
      <c r="BO42" s="26">
        <f t="shared" si="212"/>
        <v>3</v>
      </c>
    </row>
    <row r="43" ht="15.75" customHeight="1" outlineLevel="1">
      <c r="A43" s="156"/>
      <c r="B43" s="160" t="s">
        <v>300</v>
      </c>
      <c r="C43" s="132" t="s">
        <v>298</v>
      </c>
      <c r="D43" s="157" t="s">
        <v>299</v>
      </c>
      <c r="E43" s="170">
        <v>60000</v>
      </c>
      <c r="F43" s="164"/>
      <c r="G43" s="164"/>
      <c r="H43" s="164"/>
      <c r="I43" s="164"/>
      <c r="J43" s="164"/>
      <c r="K43" s="158"/>
      <c r="L43" s="158"/>
      <c r="M43" s="158"/>
      <c r="N43" s="164"/>
      <c r="O43" s="164"/>
      <c r="P43" s="164"/>
      <c r="Q43" s="164"/>
      <c r="R43" s="164"/>
      <c r="S43" s="164"/>
      <c r="T43" s="164"/>
      <c r="U43" s="164"/>
      <c r="V43" s="164"/>
      <c r="W43" s="158"/>
      <c r="X43" s="158"/>
      <c r="Y43" s="158"/>
      <c r="Z43" s="158">
        <v>30000</v>
      </c>
      <c r="AA43" s="158">
        <v>30000</v>
      </c>
      <c r="AB43" s="158">
        <v>0</v>
      </c>
      <c r="AC43" s="158"/>
      <c r="AD43" s="158">
        <v>28571</v>
      </c>
      <c r="AE43" s="158">
        <v>28571</v>
      </c>
      <c r="AF43" s="158">
        <v>0</v>
      </c>
      <c r="AG43" s="158"/>
      <c r="AH43" s="158">
        <v>29100.650000000001</v>
      </c>
      <c r="AI43" s="158">
        <v>29100.650000000001</v>
      </c>
      <c r="AJ43" s="158">
        <v>0</v>
      </c>
      <c r="AK43" s="158"/>
      <c r="AL43" s="158">
        <v>27892</v>
      </c>
      <c r="AM43" s="158">
        <f t="shared" ref="AM43:AM47" si="227">AL43-AN43</f>
        <v>12500</v>
      </c>
      <c r="AN43" s="158">
        <v>15392</v>
      </c>
      <c r="AO43" s="158"/>
      <c r="AP43" s="158">
        <v>15944</v>
      </c>
      <c r="AQ43" s="158">
        <v>15944</v>
      </c>
      <c r="AR43" s="158">
        <v>0</v>
      </c>
      <c r="AS43" s="158"/>
      <c r="AT43" s="164"/>
      <c r="AU43" s="164"/>
      <c r="AV43" s="164"/>
      <c r="AW43" s="164"/>
      <c r="AX43" s="164"/>
      <c r="AY43" s="158"/>
      <c r="AZ43" s="158"/>
      <c r="BA43" s="158"/>
      <c r="BB43" s="159"/>
      <c r="BC43" s="164"/>
      <c r="BD43" s="164"/>
      <c r="BE43" s="164"/>
      <c r="BF43" s="164"/>
      <c r="BG43" s="164"/>
      <c r="BH43" s="158"/>
      <c r="BI43" s="158"/>
      <c r="BJ43" s="158"/>
      <c r="BK43" s="164"/>
      <c r="BL43" s="158"/>
      <c r="BM43" s="158"/>
      <c r="BN43" s="158"/>
      <c r="BO43" s="26">
        <f t="shared" si="212"/>
        <v>2</v>
      </c>
    </row>
    <row r="44" ht="15.75" customHeight="1" outlineLevel="1">
      <c r="A44" s="156"/>
      <c r="B44" s="160" t="s">
        <v>301</v>
      </c>
      <c r="C44" s="132" t="s">
        <v>302</v>
      </c>
      <c r="D44" s="157" t="s">
        <v>296</v>
      </c>
      <c r="E44" s="170">
        <v>80000</v>
      </c>
      <c r="F44" s="158">
        <v>30842</v>
      </c>
      <c r="G44" s="158">
        <v>25000</v>
      </c>
      <c r="H44" s="158">
        <v>5842</v>
      </c>
      <c r="I44" s="158"/>
      <c r="J44" s="158">
        <v>46752</v>
      </c>
      <c r="K44" s="158">
        <v>25000</v>
      </c>
      <c r="L44" s="158">
        <f>J44-K44</f>
        <v>21752</v>
      </c>
      <c r="M44" s="158"/>
      <c r="N44" s="158">
        <v>14295</v>
      </c>
      <c r="O44" s="158">
        <f>N44-P44</f>
        <v>9145</v>
      </c>
      <c r="P44" s="158">
        <v>5150</v>
      </c>
      <c r="Q44" s="158"/>
      <c r="R44" s="158">
        <v>29979</v>
      </c>
      <c r="S44" s="158">
        <v>25000</v>
      </c>
      <c r="T44" s="158">
        <f>R44-S44</f>
        <v>4979</v>
      </c>
      <c r="U44" s="158"/>
      <c r="V44" s="158">
        <v>29399</v>
      </c>
      <c r="W44" s="158">
        <f>V44-X44</f>
        <v>22222</v>
      </c>
      <c r="X44" s="158">
        <v>7177</v>
      </c>
      <c r="Y44" s="158"/>
      <c r="Z44" s="158">
        <v>31915</v>
      </c>
      <c r="AA44" s="158">
        <v>25000</v>
      </c>
      <c r="AB44" s="158">
        <f>Z44-AA44</f>
        <v>6915</v>
      </c>
      <c r="AC44" s="158"/>
      <c r="AD44" s="158">
        <v>31626</v>
      </c>
      <c r="AE44" s="158"/>
      <c r="AF44" s="158"/>
      <c r="AG44" s="158"/>
      <c r="AH44" s="158">
        <v>44119.43</v>
      </c>
      <c r="AI44" s="158">
        <f>AH44-AJ44</f>
        <v>28130.43</v>
      </c>
      <c r="AJ44" s="158">
        <v>15989</v>
      </c>
      <c r="AK44" s="158"/>
      <c r="AL44" s="166">
        <v>83833.639999999999</v>
      </c>
      <c r="AM44" s="158">
        <f t="shared" si="227"/>
        <v>39308.639999999999</v>
      </c>
      <c r="AN44" s="158">
        <v>44525</v>
      </c>
      <c r="AO44" s="158"/>
      <c r="AP44" s="166">
        <v>85877</v>
      </c>
      <c r="AQ44" s="166">
        <f>AP44-AR44</f>
        <v>25000</v>
      </c>
      <c r="AR44" s="166">
        <v>60877</v>
      </c>
      <c r="AS44" s="166"/>
      <c r="AT44" s="166">
        <v>64107</v>
      </c>
      <c r="AU44" s="166">
        <f>AT44-AV44</f>
        <v>30000</v>
      </c>
      <c r="AV44" s="166">
        <v>34107</v>
      </c>
      <c r="AW44" s="166"/>
      <c r="AX44" s="166">
        <v>77587</v>
      </c>
      <c r="AY44" s="166">
        <f>AX44-AZ44</f>
        <v>40000</v>
      </c>
      <c r="AZ44" s="166">
        <v>37587</v>
      </c>
      <c r="BA44" s="166"/>
      <c r="BB44" s="166"/>
      <c r="BC44" s="166">
        <v>62007</v>
      </c>
      <c r="BD44" s="158">
        <f>BC44-BE44</f>
        <v>23529</v>
      </c>
      <c r="BE44" s="158">
        <v>38478</v>
      </c>
      <c r="BF44" s="158"/>
      <c r="BG44" s="172">
        <v>35367</v>
      </c>
      <c r="BH44" s="158">
        <f>BG44-BI44</f>
        <v>25000</v>
      </c>
      <c r="BI44" s="158">
        <v>10367</v>
      </c>
      <c r="BJ44" s="158"/>
      <c r="BK44" s="158"/>
      <c r="BL44" s="158"/>
      <c r="BM44" s="158"/>
      <c r="BN44" s="158"/>
      <c r="BO44" s="26">
        <f t="shared" si="212"/>
        <v>6</v>
      </c>
    </row>
    <row r="45" ht="15.75" customHeight="1" outlineLevel="1">
      <c r="A45" s="156"/>
      <c r="B45" s="160" t="s">
        <v>303</v>
      </c>
      <c r="C45" s="132" t="s">
        <v>302</v>
      </c>
      <c r="D45" s="157" t="s">
        <v>296</v>
      </c>
      <c r="E45" s="170">
        <v>80000</v>
      </c>
      <c r="F45" s="164"/>
      <c r="G45" s="164"/>
      <c r="H45" s="164"/>
      <c r="I45" s="164"/>
      <c r="J45" s="164"/>
      <c r="K45" s="164"/>
      <c r="L45" s="164"/>
      <c r="M45" s="164"/>
      <c r="N45" s="164"/>
      <c r="O45" s="158"/>
      <c r="P45" s="158"/>
      <c r="Q45" s="158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58">
        <v>40000</v>
      </c>
      <c r="AE45" s="158">
        <v>40000</v>
      </c>
      <c r="AF45" s="158">
        <v>0</v>
      </c>
      <c r="AG45" s="158"/>
      <c r="AH45" s="158">
        <v>40000</v>
      </c>
      <c r="AI45" s="158">
        <v>40000</v>
      </c>
      <c r="AJ45" s="158">
        <v>0</v>
      </c>
      <c r="AK45" s="158"/>
      <c r="AL45" s="166">
        <v>50770</v>
      </c>
      <c r="AM45" s="158">
        <f t="shared" si="227"/>
        <v>47693</v>
      </c>
      <c r="AN45" s="158">
        <v>3077</v>
      </c>
      <c r="AO45" s="158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59"/>
      <c r="BC45" s="164"/>
      <c r="BD45" s="164"/>
      <c r="BE45" s="164"/>
      <c r="BF45" s="164"/>
      <c r="BG45" s="164"/>
      <c r="BH45" s="158"/>
      <c r="BI45" s="158"/>
      <c r="BJ45" s="158"/>
      <c r="BK45" s="164"/>
      <c r="BL45" s="158"/>
      <c r="BM45" s="158"/>
      <c r="BN45" s="158"/>
      <c r="BO45" s="26">
        <f t="shared" si="212"/>
        <v>1</v>
      </c>
    </row>
    <row r="46" ht="15.75" customHeight="1" outlineLevel="1">
      <c r="A46" s="156"/>
      <c r="B46" s="160" t="s">
        <v>304</v>
      </c>
      <c r="C46" s="132" t="s">
        <v>302</v>
      </c>
      <c r="D46" s="157" t="s">
        <v>296</v>
      </c>
      <c r="E46" s="170">
        <v>80000</v>
      </c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58"/>
      <c r="AZ46" s="158"/>
      <c r="BA46" s="158"/>
      <c r="BB46" s="159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26">
        <f t="shared" si="212"/>
        <v>0</v>
      </c>
    </row>
    <row r="47" ht="15.75" customHeight="1" outlineLevel="1">
      <c r="A47" s="156"/>
      <c r="B47" s="160" t="s">
        <v>305</v>
      </c>
      <c r="C47" s="132" t="s">
        <v>267</v>
      </c>
      <c r="D47" s="157" t="s">
        <v>270</v>
      </c>
      <c r="E47" s="170">
        <v>50000</v>
      </c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58"/>
      <c r="AB47" s="158"/>
      <c r="AC47" s="158"/>
      <c r="AD47" s="158">
        <v>30000</v>
      </c>
      <c r="AE47" s="158">
        <v>30000</v>
      </c>
      <c r="AF47" s="158">
        <v>0</v>
      </c>
      <c r="AG47" s="158"/>
      <c r="AH47" s="158">
        <v>30000</v>
      </c>
      <c r="AI47" s="158">
        <v>30000</v>
      </c>
      <c r="AJ47" s="158">
        <v>0</v>
      </c>
      <c r="AK47" s="158"/>
      <c r="AL47" s="166">
        <v>54270.639999999999</v>
      </c>
      <c r="AM47" s="158">
        <f t="shared" si="227"/>
        <v>16363.639999999999</v>
      </c>
      <c r="AN47" s="158">
        <v>37907</v>
      </c>
      <c r="AO47" s="158"/>
      <c r="AP47" s="166">
        <v>479522</v>
      </c>
      <c r="AQ47" s="166">
        <f>AP47-AR47</f>
        <v>25000</v>
      </c>
      <c r="AR47" s="166">
        <v>454522</v>
      </c>
      <c r="AS47" s="166"/>
      <c r="AT47" s="166">
        <v>88548</v>
      </c>
      <c r="AU47" s="166">
        <f>AT47-AV47</f>
        <v>30000</v>
      </c>
      <c r="AV47" s="166">
        <v>58548</v>
      </c>
      <c r="AW47" s="166"/>
      <c r="AX47" s="166">
        <v>121988</v>
      </c>
      <c r="AY47" s="158">
        <f>AX47-AZ47</f>
        <v>19492</v>
      </c>
      <c r="AZ47" s="158">
        <v>102496</v>
      </c>
      <c r="BA47" s="158"/>
      <c r="BB47" s="159"/>
      <c r="BC47" s="166">
        <v>62112</v>
      </c>
      <c r="BD47" s="166">
        <f t="shared" ref="BD47:BD48" si="228">BC47-BE47</f>
        <v>25000</v>
      </c>
      <c r="BE47" s="166">
        <v>37112</v>
      </c>
      <c r="BF47" s="166"/>
      <c r="BG47" s="166">
        <v>78373</v>
      </c>
      <c r="BH47" s="158">
        <f t="shared" ref="BH47:BH48" si="229">BG47-BI47</f>
        <v>25000</v>
      </c>
      <c r="BI47" s="158">
        <v>53373</v>
      </c>
      <c r="BJ47" s="158"/>
      <c r="BK47" s="158"/>
      <c r="BL47" s="158"/>
      <c r="BM47" s="158"/>
      <c r="BN47" s="158"/>
      <c r="BO47" s="26">
        <f t="shared" si="212"/>
        <v>6</v>
      </c>
    </row>
    <row r="48" ht="15.75" customHeight="1" outlineLevel="1">
      <c r="A48" s="156"/>
      <c r="B48" s="160" t="s">
        <v>306</v>
      </c>
      <c r="C48" s="132" t="s">
        <v>302</v>
      </c>
      <c r="D48" s="157" t="s">
        <v>296</v>
      </c>
      <c r="E48" s="170">
        <v>80000</v>
      </c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58"/>
      <c r="AJ48" s="158"/>
      <c r="AK48" s="158"/>
      <c r="AL48" s="164"/>
      <c r="AM48" s="164"/>
      <c r="AN48" s="164"/>
      <c r="AO48" s="164"/>
      <c r="AP48" s="164"/>
      <c r="AQ48" s="158"/>
      <c r="AR48" s="158"/>
      <c r="AS48" s="158"/>
      <c r="AT48" s="172">
        <v>22857</v>
      </c>
      <c r="AU48" s="172">
        <v>22857</v>
      </c>
      <c r="AV48" s="172">
        <v>0</v>
      </c>
      <c r="AW48" s="172"/>
      <c r="AX48" s="172">
        <v>30000</v>
      </c>
      <c r="AY48" s="172">
        <v>30000</v>
      </c>
      <c r="AZ48" s="172">
        <v>0</v>
      </c>
      <c r="BA48" s="172"/>
      <c r="BB48" s="172"/>
      <c r="BC48" s="172">
        <v>36562</v>
      </c>
      <c r="BD48" s="158">
        <f t="shared" si="228"/>
        <v>30000</v>
      </c>
      <c r="BE48" s="158">
        <v>6562</v>
      </c>
      <c r="BF48" s="158"/>
      <c r="BG48" s="172">
        <v>28964</v>
      </c>
      <c r="BH48" s="158">
        <f t="shared" si="229"/>
        <v>25000</v>
      </c>
      <c r="BI48" s="158">
        <v>3964</v>
      </c>
      <c r="BJ48" s="158"/>
      <c r="BK48" s="158"/>
      <c r="BL48" s="158"/>
      <c r="BM48" s="158"/>
      <c r="BN48" s="158"/>
      <c r="BO48" s="26">
        <f t="shared" si="212"/>
        <v>4</v>
      </c>
    </row>
    <row r="49" ht="15.75" customHeight="1" outlineLevel="1">
      <c r="A49" s="156"/>
      <c r="B49" s="160" t="s">
        <v>307</v>
      </c>
      <c r="C49" s="132" t="s">
        <v>298</v>
      </c>
      <c r="D49" s="157" t="s">
        <v>299</v>
      </c>
      <c r="E49" s="170">
        <v>60000</v>
      </c>
      <c r="F49" s="158">
        <v>28125</v>
      </c>
      <c r="G49" s="158">
        <v>28125</v>
      </c>
      <c r="H49" s="158">
        <v>0</v>
      </c>
      <c r="I49" s="158"/>
      <c r="J49" s="158">
        <v>20139</v>
      </c>
      <c r="K49" s="158">
        <v>20139</v>
      </c>
      <c r="L49" s="158">
        <v>0</v>
      </c>
      <c r="M49" s="158"/>
      <c r="N49" s="158">
        <v>30000</v>
      </c>
      <c r="O49" s="158">
        <v>30000</v>
      </c>
      <c r="P49" s="158">
        <v>0</v>
      </c>
      <c r="Q49" s="158"/>
      <c r="R49" s="158">
        <v>31476</v>
      </c>
      <c r="S49" s="158">
        <f>R49-T49</f>
        <v>26666</v>
      </c>
      <c r="T49" s="158">
        <v>4810</v>
      </c>
      <c r="U49" s="158"/>
      <c r="V49" s="158">
        <v>18203.889999999999</v>
      </c>
      <c r="W49" s="158">
        <f>V49-X49</f>
        <v>13888.889999999999</v>
      </c>
      <c r="X49" s="158">
        <v>4315</v>
      </c>
      <c r="Y49" s="158"/>
      <c r="Z49" s="158">
        <v>33300.989999999998</v>
      </c>
      <c r="AA49" s="158">
        <f>Z49-AB49</f>
        <v>31249.989999999998</v>
      </c>
      <c r="AB49" s="158">
        <v>2051</v>
      </c>
      <c r="AC49" s="158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59"/>
      <c r="BC49" s="164"/>
      <c r="BD49" s="164"/>
      <c r="BE49" s="164"/>
      <c r="BF49" s="164"/>
      <c r="BG49" s="164"/>
      <c r="BH49" s="164"/>
      <c r="BI49" s="164"/>
      <c r="BJ49" s="164"/>
      <c r="BK49" s="164"/>
      <c r="BL49" s="158"/>
      <c r="BM49" s="158"/>
      <c r="BN49" s="158"/>
      <c r="BO49" s="26">
        <f t="shared" si="212"/>
        <v>0</v>
      </c>
    </row>
    <row r="50" ht="15.75" customHeight="1" outlineLevel="1">
      <c r="A50" s="156"/>
      <c r="B50" s="160" t="s">
        <v>308</v>
      </c>
      <c r="C50" s="157" t="s">
        <v>309</v>
      </c>
      <c r="D50" s="157" t="s">
        <v>299</v>
      </c>
      <c r="E50" s="170">
        <v>60000</v>
      </c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58"/>
      <c r="AB50" s="158"/>
      <c r="AC50" s="158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59"/>
      <c r="BC50" s="164"/>
      <c r="BD50" s="164"/>
      <c r="BE50" s="164"/>
      <c r="BF50" s="164"/>
      <c r="BG50" s="164"/>
      <c r="BH50" s="164"/>
      <c r="BI50" s="164"/>
      <c r="BJ50" s="164"/>
      <c r="BK50" s="158"/>
      <c r="BL50" s="158"/>
      <c r="BM50" s="158"/>
      <c r="BN50" s="158"/>
      <c r="BO50" s="26">
        <f t="shared" si="212"/>
        <v>0</v>
      </c>
    </row>
    <row r="51" ht="15.75" customHeight="1" outlineLevel="1">
      <c r="A51" s="156"/>
      <c r="B51" s="160" t="s">
        <v>310</v>
      </c>
      <c r="C51" s="132" t="s">
        <v>298</v>
      </c>
      <c r="D51" s="157" t="s">
        <v>299</v>
      </c>
      <c r="E51" s="170">
        <v>60000</v>
      </c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59"/>
      <c r="BC51" s="164"/>
      <c r="BD51" s="158"/>
      <c r="BE51" s="158"/>
      <c r="BF51" s="158"/>
      <c r="BG51" s="164"/>
      <c r="BH51" s="158"/>
      <c r="BI51" s="158"/>
      <c r="BJ51" s="158"/>
      <c r="BK51" s="158"/>
      <c r="BL51" s="158"/>
      <c r="BM51" s="158"/>
      <c r="BN51" s="158"/>
      <c r="BO51" s="26">
        <f t="shared" si="212"/>
        <v>0</v>
      </c>
    </row>
    <row r="52" ht="15.75" customHeight="1">
      <c r="A52" s="156" t="s">
        <v>154</v>
      </c>
      <c r="B52" s="131"/>
      <c r="C52" s="132"/>
      <c r="D52" s="157"/>
      <c r="E52" s="170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9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26">
        <f t="shared" si="212"/>
        <v>0</v>
      </c>
    </row>
    <row r="53" ht="15.75" customHeight="1" outlineLevel="1">
      <c r="A53" s="156"/>
      <c r="B53" s="160" t="s">
        <v>311</v>
      </c>
      <c r="C53" s="132" t="s">
        <v>312</v>
      </c>
      <c r="D53" s="157" t="s">
        <v>273</v>
      </c>
      <c r="E53" s="170">
        <v>70000</v>
      </c>
      <c r="F53" s="158">
        <f t="shared" si="213"/>
        <v>43040</v>
      </c>
      <c r="G53" s="158">
        <v>30000</v>
      </c>
      <c r="H53" s="158">
        <v>13040</v>
      </c>
      <c r="I53" s="158"/>
      <c r="J53" s="158">
        <f t="shared" si="214"/>
        <v>20553</v>
      </c>
      <c r="K53" s="158">
        <v>14305</v>
      </c>
      <c r="L53" s="158">
        <v>6248</v>
      </c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9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26">
        <f t="shared" si="212"/>
        <v>0</v>
      </c>
    </row>
    <row r="54" ht="15.75" customHeight="1" outlineLevel="1">
      <c r="A54" s="156"/>
      <c r="B54" s="160" t="s">
        <v>313</v>
      </c>
      <c r="C54" s="132" t="s">
        <v>312</v>
      </c>
      <c r="D54" s="157" t="s">
        <v>273</v>
      </c>
      <c r="E54" s="170">
        <v>70000</v>
      </c>
      <c r="F54" s="158">
        <f t="shared" si="213"/>
        <v>35959</v>
      </c>
      <c r="G54" s="158">
        <v>25000</v>
      </c>
      <c r="H54" s="158">
        <v>10959</v>
      </c>
      <c r="I54" s="158"/>
      <c r="J54" s="158">
        <f t="shared" si="214"/>
        <v>46999</v>
      </c>
      <c r="K54" s="158">
        <v>23684</v>
      </c>
      <c r="L54" s="158">
        <v>12905</v>
      </c>
      <c r="M54" s="158">
        <v>10410</v>
      </c>
      <c r="N54" s="158">
        <f t="shared" si="215"/>
        <v>33768</v>
      </c>
      <c r="O54" s="158">
        <v>19318</v>
      </c>
      <c r="P54" s="158">
        <v>14450</v>
      </c>
      <c r="Q54" s="158"/>
      <c r="R54" s="158">
        <f t="shared" si="216"/>
        <v>38162</v>
      </c>
      <c r="S54" s="158">
        <v>23809</v>
      </c>
      <c r="T54" s="158">
        <v>14353</v>
      </c>
      <c r="U54" s="158"/>
      <c r="V54" s="158">
        <f t="shared" si="217"/>
        <v>40585</v>
      </c>
      <c r="W54" s="158">
        <v>28333</v>
      </c>
      <c r="X54" s="158">
        <v>12252</v>
      </c>
      <c r="Y54" s="158"/>
      <c r="Z54" s="158">
        <f t="shared" si="218"/>
        <v>45517</v>
      </c>
      <c r="AA54" s="158">
        <v>30000</v>
      </c>
      <c r="AB54" s="158">
        <v>15517</v>
      </c>
      <c r="AC54" s="158"/>
      <c r="AD54" s="172">
        <f t="shared" si="219"/>
        <v>48051</v>
      </c>
      <c r="AE54" s="158">
        <v>30000</v>
      </c>
      <c r="AF54" s="158">
        <v>18051</v>
      </c>
      <c r="AG54" s="158"/>
      <c r="AH54" s="169">
        <f t="shared" si="220"/>
        <v>58979</v>
      </c>
      <c r="AI54" s="158">
        <v>23487</v>
      </c>
      <c r="AJ54" s="158">
        <v>26037</v>
      </c>
      <c r="AK54" s="158">
        <v>9455</v>
      </c>
      <c r="AL54" s="169">
        <f t="shared" si="221"/>
        <v>57743</v>
      </c>
      <c r="AM54" s="166">
        <v>19090</v>
      </c>
      <c r="AN54" s="166">
        <v>29036</v>
      </c>
      <c r="AO54" s="166">
        <v>9617</v>
      </c>
      <c r="AP54" s="169">
        <f t="shared" si="222"/>
        <v>64855</v>
      </c>
      <c r="AQ54" s="166">
        <v>30000</v>
      </c>
      <c r="AR54" s="166">
        <v>34855</v>
      </c>
      <c r="AS54" s="166"/>
      <c r="AT54" s="166">
        <f t="shared" si="223"/>
        <v>92887</v>
      </c>
      <c r="AU54" s="166">
        <v>30000</v>
      </c>
      <c r="AV54" s="166">
        <v>62887</v>
      </c>
      <c r="AW54" s="166"/>
      <c r="AX54" s="166">
        <f t="shared" si="224"/>
        <v>119095</v>
      </c>
      <c r="AY54" s="158">
        <v>35000</v>
      </c>
      <c r="AZ54" s="158">
        <v>84095</v>
      </c>
      <c r="BA54" s="158"/>
      <c r="BB54" s="159"/>
      <c r="BC54" s="169">
        <f t="shared" si="225"/>
        <v>62422</v>
      </c>
      <c r="BD54" s="158">
        <v>35000</v>
      </c>
      <c r="BE54" s="158">
        <v>27422</v>
      </c>
      <c r="BF54" s="158"/>
      <c r="BG54" s="169">
        <f t="shared" si="226"/>
        <v>56816</v>
      </c>
      <c r="BH54" s="158">
        <v>35000</v>
      </c>
      <c r="BI54" s="158">
        <v>21816</v>
      </c>
      <c r="BJ54" s="158"/>
      <c r="BK54" s="158"/>
      <c r="BL54" s="158"/>
      <c r="BM54" s="158"/>
      <c r="BN54" s="158"/>
      <c r="BO54" s="26">
        <f t="shared" si="212"/>
        <v>6</v>
      </c>
    </row>
    <row r="55" ht="15.75" customHeight="1" outlineLevel="1">
      <c r="A55" s="156"/>
      <c r="B55" s="160" t="s">
        <v>314</v>
      </c>
      <c r="C55" s="132" t="s">
        <v>312</v>
      </c>
      <c r="D55" s="157" t="s">
        <v>273</v>
      </c>
      <c r="E55" s="170">
        <v>70000</v>
      </c>
      <c r="F55" s="158">
        <f t="shared" si="213"/>
        <v>60143</v>
      </c>
      <c r="G55" s="158">
        <v>40000</v>
      </c>
      <c r="H55" s="158">
        <v>20143</v>
      </c>
      <c r="I55" s="158"/>
      <c r="J55" s="158">
        <f t="shared" si="214"/>
        <v>69317</v>
      </c>
      <c r="K55" s="158">
        <v>37895</v>
      </c>
      <c r="L55" s="158">
        <v>18815</v>
      </c>
      <c r="M55" s="158">
        <v>12607</v>
      </c>
      <c r="N55" s="158">
        <f t="shared" si="215"/>
        <v>57405</v>
      </c>
      <c r="O55" s="158">
        <v>30909</v>
      </c>
      <c r="P55" s="158">
        <v>26496</v>
      </c>
      <c r="Q55" s="158"/>
      <c r="R55" s="158">
        <f t="shared" si="216"/>
        <v>51954</v>
      </c>
      <c r="S55" s="158">
        <v>40000</v>
      </c>
      <c r="T55" s="158">
        <v>11954</v>
      </c>
      <c r="U55" s="158"/>
      <c r="V55" s="158">
        <f t="shared" si="217"/>
        <v>55907</v>
      </c>
      <c r="W55" s="158">
        <v>40000</v>
      </c>
      <c r="X55" s="158">
        <v>15907</v>
      </c>
      <c r="Y55" s="158"/>
      <c r="Z55" s="158">
        <f t="shared" si="218"/>
        <v>56875</v>
      </c>
      <c r="AA55" s="158">
        <v>40000</v>
      </c>
      <c r="AB55" s="158">
        <v>16875</v>
      </c>
      <c r="AC55" s="158"/>
      <c r="AD55" s="158">
        <f t="shared" si="219"/>
        <v>58227</v>
      </c>
      <c r="AE55" s="158">
        <v>20952</v>
      </c>
      <c r="AF55" s="158">
        <v>20017</v>
      </c>
      <c r="AG55" s="158">
        <v>17258</v>
      </c>
      <c r="AH55" s="158">
        <f t="shared" si="220"/>
        <v>53597</v>
      </c>
      <c r="AI55" s="158">
        <v>40000</v>
      </c>
      <c r="AJ55" s="158">
        <v>13597</v>
      </c>
      <c r="AK55" s="158"/>
      <c r="AL55" s="158">
        <f t="shared" si="221"/>
        <v>60491</v>
      </c>
      <c r="AM55" s="158">
        <v>30909</v>
      </c>
      <c r="AN55" s="158">
        <v>16048</v>
      </c>
      <c r="AO55" s="158">
        <v>13534</v>
      </c>
      <c r="AP55" s="158">
        <f t="shared" si="222"/>
        <v>52509</v>
      </c>
      <c r="AQ55" s="158">
        <v>40000</v>
      </c>
      <c r="AR55" s="158">
        <v>12509</v>
      </c>
      <c r="AS55" s="158"/>
      <c r="AT55" s="169">
        <f t="shared" si="223"/>
        <v>66604</v>
      </c>
      <c r="AU55" s="158">
        <v>40000</v>
      </c>
      <c r="AV55" s="158">
        <v>26604</v>
      </c>
      <c r="AW55" s="158"/>
      <c r="AX55" s="172">
        <f t="shared" si="224"/>
        <v>46249</v>
      </c>
      <c r="AY55" s="158">
        <v>40000</v>
      </c>
      <c r="AZ55" s="158">
        <v>6249</v>
      </c>
      <c r="BA55" s="158"/>
      <c r="BB55" s="159"/>
      <c r="BC55" s="172">
        <f t="shared" si="225"/>
        <v>42491</v>
      </c>
      <c r="BD55" s="158">
        <v>40000</v>
      </c>
      <c r="BE55" s="158">
        <v>2491</v>
      </c>
      <c r="BF55" s="158"/>
      <c r="BG55" s="172">
        <f t="shared" si="226"/>
        <v>51833</v>
      </c>
      <c r="BH55" s="158">
        <v>35555</v>
      </c>
      <c r="BI55" s="158">
        <v>2865</v>
      </c>
      <c r="BJ55" s="158">
        <v>13413</v>
      </c>
      <c r="BK55" s="158"/>
      <c r="BL55" s="158"/>
      <c r="BM55" s="158"/>
      <c r="BN55" s="158"/>
      <c r="BO55" s="26">
        <f t="shared" si="212"/>
        <v>6</v>
      </c>
    </row>
    <row r="56" ht="15.75" customHeight="1" outlineLevel="1">
      <c r="A56" s="156"/>
      <c r="B56" s="160" t="s">
        <v>315</v>
      </c>
      <c r="C56" s="132" t="s">
        <v>312</v>
      </c>
      <c r="D56" s="157" t="s">
        <v>273</v>
      </c>
      <c r="E56" s="170">
        <v>70000</v>
      </c>
      <c r="F56" s="158">
        <f t="shared" si="213"/>
        <v>36038</v>
      </c>
      <c r="G56" s="158">
        <v>35000</v>
      </c>
      <c r="H56" s="158">
        <v>1038</v>
      </c>
      <c r="I56" s="158"/>
      <c r="J56" s="158">
        <f t="shared" si="214"/>
        <v>39572</v>
      </c>
      <c r="K56" s="158">
        <v>35000</v>
      </c>
      <c r="L56" s="158">
        <v>4572</v>
      </c>
      <c r="M56" s="158"/>
      <c r="N56" s="158">
        <f t="shared" si="215"/>
        <v>38082</v>
      </c>
      <c r="O56" s="158">
        <v>35000</v>
      </c>
      <c r="P56" s="158">
        <v>3082</v>
      </c>
      <c r="Q56" s="158"/>
      <c r="R56" s="158">
        <f t="shared" si="216"/>
        <v>32606</v>
      </c>
      <c r="S56" s="158">
        <v>30000</v>
      </c>
      <c r="T56" s="158">
        <v>2606</v>
      </c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9"/>
      <c r="BC56" s="158"/>
      <c r="BD56" s="158"/>
      <c r="BE56" s="158"/>
      <c r="BF56" s="158"/>
      <c r="BG56" s="158"/>
      <c r="BH56" s="158"/>
      <c r="BI56" s="158"/>
      <c r="BJ56" s="158"/>
      <c r="BK56" s="158"/>
      <c r="BL56" s="158"/>
      <c r="BM56" s="158"/>
      <c r="BN56" s="158"/>
      <c r="BO56" s="26">
        <f t="shared" si="212"/>
        <v>0</v>
      </c>
    </row>
    <row r="57" ht="15.75" customHeight="1" outlineLevel="1">
      <c r="A57" s="156"/>
      <c r="B57" s="160" t="s">
        <v>316</v>
      </c>
      <c r="C57" s="132" t="s">
        <v>312</v>
      </c>
      <c r="D57" s="157" t="s">
        <v>273</v>
      </c>
      <c r="E57" s="170">
        <v>70000</v>
      </c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>
        <f t="shared" si="219"/>
        <v>13333</v>
      </c>
      <c r="AE57" s="158">
        <v>13333</v>
      </c>
      <c r="AF57" s="158"/>
      <c r="AG57" s="158"/>
      <c r="AH57" s="158">
        <f t="shared" si="220"/>
        <v>29731</v>
      </c>
      <c r="AI57" s="158">
        <v>27391</v>
      </c>
      <c r="AJ57" s="158">
        <v>861</v>
      </c>
      <c r="AK57" s="158">
        <v>1479</v>
      </c>
      <c r="AL57" s="158">
        <f t="shared" si="221"/>
        <v>3181</v>
      </c>
      <c r="AM57" s="158">
        <v>3181</v>
      </c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9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8"/>
      <c r="BN57" s="158"/>
      <c r="BO57" s="26">
        <f t="shared" si="212"/>
        <v>1</v>
      </c>
    </row>
    <row r="58" ht="15.75" customHeight="1" outlineLevel="1">
      <c r="A58" s="156"/>
      <c r="B58" s="160" t="s">
        <v>317</v>
      </c>
      <c r="C58" s="132" t="s">
        <v>312</v>
      </c>
      <c r="D58" s="157" t="s">
        <v>273</v>
      </c>
      <c r="E58" s="170">
        <v>70000</v>
      </c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9"/>
      <c r="BC58" s="158"/>
      <c r="BD58" s="158"/>
      <c r="BE58" s="158"/>
      <c r="BF58" s="158"/>
      <c r="BG58" s="158">
        <f t="shared" si="226"/>
        <v>13889</v>
      </c>
      <c r="BH58" s="158">
        <v>13889</v>
      </c>
      <c r="BI58" s="158"/>
      <c r="BJ58" s="158"/>
      <c r="BK58" s="158"/>
      <c r="BL58" s="158"/>
      <c r="BM58" s="158"/>
      <c r="BN58" s="158"/>
      <c r="BO58" s="26">
        <f t="shared" si="212"/>
        <v>1</v>
      </c>
    </row>
    <row r="59" ht="15.75" customHeight="1" outlineLevel="1">
      <c r="A59" s="156"/>
      <c r="B59" s="160" t="s">
        <v>318</v>
      </c>
      <c r="C59" s="132" t="s">
        <v>319</v>
      </c>
      <c r="D59" s="157" t="s">
        <v>320</v>
      </c>
      <c r="E59" s="170">
        <v>65000</v>
      </c>
      <c r="F59" s="158">
        <f t="shared" si="213"/>
        <v>29881</v>
      </c>
      <c r="G59" s="158">
        <v>25000</v>
      </c>
      <c r="H59" s="158">
        <v>4881</v>
      </c>
      <c r="I59" s="158"/>
      <c r="J59" s="158">
        <f t="shared" si="214"/>
        <v>29229</v>
      </c>
      <c r="K59" s="158">
        <v>25000</v>
      </c>
      <c r="L59" s="158">
        <v>4229</v>
      </c>
      <c r="M59" s="158"/>
      <c r="N59" s="158">
        <f t="shared" si="215"/>
        <v>56099</v>
      </c>
      <c r="O59" s="158">
        <v>25000</v>
      </c>
      <c r="P59" s="158">
        <v>31099</v>
      </c>
      <c r="Q59" s="158"/>
      <c r="R59" s="158">
        <f t="shared" si="216"/>
        <v>34054</v>
      </c>
      <c r="S59" s="158">
        <v>25000</v>
      </c>
      <c r="T59" s="158">
        <v>9054</v>
      </c>
      <c r="U59" s="158"/>
      <c r="V59" s="158">
        <f t="shared" si="217"/>
        <v>28540</v>
      </c>
      <c r="W59" s="158">
        <v>23611</v>
      </c>
      <c r="X59" s="158">
        <v>4929</v>
      </c>
      <c r="Y59" s="158"/>
      <c r="Z59" s="158">
        <f t="shared" si="218"/>
        <v>34865</v>
      </c>
      <c r="AA59" s="158">
        <v>15476</v>
      </c>
      <c r="AB59" s="158">
        <v>1219</v>
      </c>
      <c r="AC59" s="158">
        <v>18170</v>
      </c>
      <c r="AD59" s="158">
        <f t="shared" si="219"/>
        <v>16065</v>
      </c>
      <c r="AE59" s="158">
        <v>13095</v>
      </c>
      <c r="AF59" s="158">
        <v>2970</v>
      </c>
      <c r="AG59" s="158"/>
      <c r="AH59" s="172">
        <f t="shared" si="220"/>
        <v>33813</v>
      </c>
      <c r="AI59" s="172">
        <v>25000</v>
      </c>
      <c r="AJ59" s="172">
        <v>8813</v>
      </c>
      <c r="AK59" s="172"/>
      <c r="AL59" s="172">
        <f t="shared" si="221"/>
        <v>37844</v>
      </c>
      <c r="AM59" s="172">
        <v>25000</v>
      </c>
      <c r="AN59" s="172">
        <v>12844</v>
      </c>
      <c r="AO59" s="172"/>
      <c r="AP59" s="172">
        <f t="shared" si="222"/>
        <v>43515</v>
      </c>
      <c r="AQ59" s="172">
        <v>25000</v>
      </c>
      <c r="AR59" s="172">
        <v>18515</v>
      </c>
      <c r="AS59" s="172"/>
      <c r="AT59" s="172">
        <f t="shared" si="223"/>
        <v>43865</v>
      </c>
      <c r="AU59" s="172">
        <v>25000</v>
      </c>
      <c r="AV59" s="172">
        <v>18865</v>
      </c>
      <c r="AW59" s="172"/>
      <c r="AX59" s="172">
        <f t="shared" si="224"/>
        <v>43528</v>
      </c>
      <c r="AY59" s="172">
        <v>25000</v>
      </c>
      <c r="AZ59" s="172">
        <v>18528</v>
      </c>
      <c r="BA59" s="172"/>
      <c r="BB59" s="172"/>
      <c r="BC59" s="172">
        <f t="shared" si="225"/>
        <v>38450</v>
      </c>
      <c r="BD59" s="158">
        <v>30000</v>
      </c>
      <c r="BE59" s="158">
        <v>8450</v>
      </c>
      <c r="BF59" s="158"/>
      <c r="BG59" s="172">
        <f t="shared" si="226"/>
        <v>43031</v>
      </c>
      <c r="BH59" s="158">
        <v>30000</v>
      </c>
      <c r="BI59" s="158">
        <v>13031</v>
      </c>
      <c r="BJ59" s="158"/>
      <c r="BK59" s="158"/>
      <c r="BL59" s="158"/>
      <c r="BM59" s="158"/>
      <c r="BN59" s="158"/>
      <c r="BO59" s="26">
        <f t="shared" si="212"/>
        <v>6</v>
      </c>
    </row>
    <row r="60" ht="15.75" customHeight="1" outlineLevel="1">
      <c r="A60" s="156"/>
      <c r="B60" s="160" t="s">
        <v>321</v>
      </c>
      <c r="C60" s="12" t="s">
        <v>322</v>
      </c>
      <c r="D60" s="157" t="s">
        <v>323</v>
      </c>
      <c r="E60" s="170">
        <v>60000</v>
      </c>
      <c r="F60" s="158">
        <f t="shared" si="213"/>
        <v>21282</v>
      </c>
      <c r="G60" s="158">
        <v>18750</v>
      </c>
      <c r="H60" s="158">
        <v>2532</v>
      </c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9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26">
        <f t="shared" si="212"/>
        <v>0</v>
      </c>
    </row>
    <row r="61" ht="15.75" customHeight="1" outlineLevel="1">
      <c r="A61" s="156"/>
      <c r="B61" s="160" t="s">
        <v>324</v>
      </c>
      <c r="C61" s="12" t="s">
        <v>322</v>
      </c>
      <c r="D61" s="157" t="s">
        <v>323</v>
      </c>
      <c r="E61" s="170">
        <v>60000</v>
      </c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72">
        <f t="shared" si="223"/>
        <v>39448</v>
      </c>
      <c r="AU61" s="172">
        <v>38095</v>
      </c>
      <c r="AV61" s="172">
        <v>1353</v>
      </c>
      <c r="AW61" s="172"/>
      <c r="AX61" s="172">
        <f t="shared" si="224"/>
        <v>40908</v>
      </c>
      <c r="AY61" s="172">
        <v>40000</v>
      </c>
      <c r="AZ61" s="172">
        <v>908</v>
      </c>
      <c r="BA61" s="172"/>
      <c r="BB61" s="172"/>
      <c r="BC61" s="172">
        <f t="shared" si="225"/>
        <v>7835</v>
      </c>
      <c r="BD61" s="158">
        <v>7059</v>
      </c>
      <c r="BE61" s="158">
        <v>776</v>
      </c>
      <c r="BF61" s="158"/>
      <c r="BG61" s="158"/>
      <c r="BH61" s="158"/>
      <c r="BI61" s="158"/>
      <c r="BJ61" s="158"/>
      <c r="BK61" s="158"/>
      <c r="BL61" s="158"/>
      <c r="BM61" s="158"/>
      <c r="BN61" s="158"/>
      <c r="BO61" s="26">
        <f t="shared" si="212"/>
        <v>3</v>
      </c>
    </row>
    <row r="62" ht="15.75" customHeight="1" outlineLevel="1">
      <c r="A62" s="156"/>
      <c r="B62" s="160" t="s">
        <v>325</v>
      </c>
      <c r="C62" s="132" t="s">
        <v>326</v>
      </c>
      <c r="D62" s="157" t="s">
        <v>327</v>
      </c>
      <c r="E62" s="170">
        <v>55000</v>
      </c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72">
        <f t="shared" si="224"/>
        <v>28636</v>
      </c>
      <c r="AY62" s="172">
        <v>28636</v>
      </c>
      <c r="AZ62" s="172"/>
      <c r="BA62" s="172"/>
      <c r="BB62" s="172"/>
      <c r="BC62" s="172">
        <f t="shared" si="225"/>
        <v>34925</v>
      </c>
      <c r="BD62" s="158">
        <v>30000</v>
      </c>
      <c r="BE62" s="158">
        <v>4925</v>
      </c>
      <c r="BF62" s="158"/>
      <c r="BG62" s="172">
        <f t="shared" si="226"/>
        <v>36327</v>
      </c>
      <c r="BH62" s="158">
        <v>30000</v>
      </c>
      <c r="BI62" s="158">
        <v>6327</v>
      </c>
      <c r="BJ62" s="158"/>
      <c r="BK62" s="158"/>
      <c r="BL62" s="158"/>
      <c r="BM62" s="158"/>
      <c r="BN62" s="158"/>
      <c r="BO62" s="26">
        <f t="shared" si="212"/>
        <v>3</v>
      </c>
    </row>
    <row r="63" ht="15.75" customHeight="1" outlineLevel="1">
      <c r="A63" s="156"/>
      <c r="B63" s="160" t="s">
        <v>328</v>
      </c>
      <c r="C63" s="132" t="s">
        <v>329</v>
      </c>
      <c r="D63" s="157" t="s">
        <v>327</v>
      </c>
      <c r="E63" s="170">
        <v>55000</v>
      </c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9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26">
        <f t="shared" si="212"/>
        <v>0</v>
      </c>
    </row>
    <row r="64" ht="15.75" customHeight="1" outlineLevel="1">
      <c r="A64" s="156"/>
      <c r="B64" s="160" t="s">
        <v>330</v>
      </c>
      <c r="C64" s="132" t="s">
        <v>331</v>
      </c>
      <c r="D64" s="157" t="s">
        <v>332</v>
      </c>
      <c r="E64" s="170">
        <v>60000</v>
      </c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9"/>
      <c r="BC64" s="172">
        <f t="shared" si="225"/>
        <v>29627</v>
      </c>
      <c r="BD64" s="158">
        <v>28336</v>
      </c>
      <c r="BE64" s="158">
        <v>1291</v>
      </c>
      <c r="BF64" s="158"/>
      <c r="BG64" s="172">
        <f t="shared" si="226"/>
        <v>31542</v>
      </c>
      <c r="BH64" s="158">
        <v>30000</v>
      </c>
      <c r="BI64" s="158">
        <v>1542</v>
      </c>
      <c r="BJ64" s="158"/>
      <c r="BK64" s="158"/>
      <c r="BL64" s="158"/>
      <c r="BM64" s="158"/>
      <c r="BN64" s="158"/>
      <c r="BO64" s="26">
        <f t="shared" si="212"/>
        <v>2</v>
      </c>
    </row>
    <row r="65" ht="15.75" customHeight="1" outlineLevel="1">
      <c r="A65" s="156"/>
      <c r="B65" s="160" t="s">
        <v>333</v>
      </c>
      <c r="C65" s="132" t="s">
        <v>334</v>
      </c>
      <c r="D65" s="157" t="s">
        <v>332</v>
      </c>
      <c r="E65" s="170">
        <v>60000</v>
      </c>
      <c r="F65" s="158">
        <f t="shared" si="213"/>
        <v>39325</v>
      </c>
      <c r="G65" s="158">
        <v>23437</v>
      </c>
      <c r="H65" s="158">
        <v>4600</v>
      </c>
      <c r="I65" s="158">
        <v>11288</v>
      </c>
      <c r="J65" s="158">
        <f t="shared" si="214"/>
        <v>17207</v>
      </c>
      <c r="K65" s="158">
        <v>13158</v>
      </c>
      <c r="L65" s="158">
        <v>4049</v>
      </c>
      <c r="M65" s="158"/>
      <c r="N65" s="158">
        <f t="shared" si="215"/>
        <v>28376</v>
      </c>
      <c r="O65" s="158">
        <v>25000</v>
      </c>
      <c r="P65" s="158">
        <v>3376</v>
      </c>
      <c r="Q65" s="158"/>
      <c r="R65" s="158">
        <f t="shared" si="216"/>
        <v>20037</v>
      </c>
      <c r="S65" s="158">
        <v>16667</v>
      </c>
      <c r="T65" s="158">
        <v>3370</v>
      </c>
      <c r="U65" s="158"/>
      <c r="V65" s="158">
        <f t="shared" si="217"/>
        <v>27863</v>
      </c>
      <c r="W65" s="158">
        <v>23611</v>
      </c>
      <c r="X65" s="158">
        <v>2655</v>
      </c>
      <c r="Y65" s="158">
        <v>1597</v>
      </c>
      <c r="Z65" s="158">
        <f t="shared" si="218"/>
        <v>17233</v>
      </c>
      <c r="AA65" s="158">
        <v>15476</v>
      </c>
      <c r="AB65" s="158">
        <v>1757</v>
      </c>
      <c r="AC65" s="158"/>
      <c r="AD65" s="158">
        <f t="shared" si="219"/>
        <v>2733</v>
      </c>
      <c r="AE65" s="158">
        <v>2381</v>
      </c>
      <c r="AF65" s="158">
        <v>352</v>
      </c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9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26">
        <f t="shared" si="212"/>
        <v>0</v>
      </c>
    </row>
    <row r="66" ht="15.75" customHeight="1">
      <c r="A66" s="156" t="s">
        <v>155</v>
      </c>
      <c r="B66" s="131"/>
      <c r="C66" s="132"/>
      <c r="D66" s="157"/>
      <c r="E66" s="170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9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</row>
    <row r="67" ht="15.75" customHeight="1" outlineLevel="1">
      <c r="A67" s="156"/>
      <c r="B67" s="182" t="s">
        <v>335</v>
      </c>
      <c r="C67" s="132" t="s">
        <v>336</v>
      </c>
      <c r="D67" s="157"/>
      <c r="E67" s="170">
        <v>80000</v>
      </c>
      <c r="F67" s="183">
        <f t="shared" si="213"/>
        <v>35675</v>
      </c>
      <c r="G67" s="158">
        <v>35000</v>
      </c>
      <c r="H67" s="158">
        <v>675</v>
      </c>
      <c r="I67" s="158"/>
      <c r="J67" s="183">
        <f t="shared" si="214"/>
        <v>37192</v>
      </c>
      <c r="K67" s="158">
        <v>35000</v>
      </c>
      <c r="L67" s="158">
        <v>2192</v>
      </c>
      <c r="M67" s="158"/>
      <c r="N67" s="183">
        <f t="shared" si="215"/>
        <v>37472</v>
      </c>
      <c r="O67" s="158">
        <v>35000</v>
      </c>
      <c r="P67" s="158">
        <v>2472</v>
      </c>
      <c r="Q67" s="158"/>
      <c r="R67" s="183">
        <f t="shared" si="216"/>
        <v>39657</v>
      </c>
      <c r="S67" s="158">
        <v>35000</v>
      </c>
      <c r="T67" s="158">
        <v>4657</v>
      </c>
      <c r="U67" s="158"/>
      <c r="V67" s="183">
        <f t="shared" si="217"/>
        <v>38174</v>
      </c>
      <c r="W67" s="158">
        <v>35000</v>
      </c>
      <c r="X67" s="158">
        <v>3174</v>
      </c>
      <c r="Y67" s="158"/>
      <c r="Z67" s="183">
        <f t="shared" si="218"/>
        <v>35555</v>
      </c>
      <c r="AA67" s="158">
        <v>35000</v>
      </c>
      <c r="AB67" s="158">
        <v>555</v>
      </c>
      <c r="AC67" s="158"/>
      <c r="AD67" s="183">
        <f t="shared" si="219"/>
        <v>35864</v>
      </c>
      <c r="AE67" s="158">
        <v>35000</v>
      </c>
      <c r="AF67" s="158">
        <v>864</v>
      </c>
      <c r="AG67" s="158"/>
      <c r="AH67" s="183">
        <f t="shared" si="220"/>
        <v>39277</v>
      </c>
      <c r="AI67" s="158">
        <v>35000</v>
      </c>
      <c r="AJ67" s="158">
        <v>4277</v>
      </c>
      <c r="AK67" s="158"/>
      <c r="AL67" s="184">
        <f t="shared" si="221"/>
        <v>0</v>
      </c>
      <c r="AM67" s="164"/>
      <c r="AN67" s="164"/>
      <c r="AO67" s="164"/>
      <c r="AP67" s="184">
        <f t="shared" si="222"/>
        <v>0</v>
      </c>
      <c r="AQ67" s="164"/>
      <c r="AR67" s="164"/>
      <c r="AS67" s="164"/>
      <c r="AT67" s="184">
        <f t="shared" si="223"/>
        <v>0</v>
      </c>
      <c r="AU67" s="164"/>
      <c r="AV67" s="164"/>
      <c r="AW67" s="164"/>
      <c r="AX67" s="184">
        <f t="shared" si="224"/>
        <v>0</v>
      </c>
      <c r="AY67" s="164"/>
      <c r="AZ67" s="164"/>
      <c r="BA67" s="164"/>
      <c r="BB67" s="159"/>
      <c r="BC67" s="184">
        <f t="shared" si="225"/>
        <v>0</v>
      </c>
      <c r="BD67" s="164"/>
      <c r="BE67" s="164"/>
      <c r="BF67" s="164"/>
      <c r="BG67" s="184">
        <f t="shared" si="226"/>
        <v>0</v>
      </c>
      <c r="BH67" s="164"/>
      <c r="BI67" s="164"/>
      <c r="BJ67" s="164"/>
      <c r="BK67" s="164"/>
      <c r="BL67" s="158"/>
      <c r="BM67" s="158"/>
      <c r="BN67" s="158"/>
    </row>
    <row r="68" ht="15.75" customHeight="1" outlineLevel="1">
      <c r="A68" s="156"/>
      <c r="B68" s="135" t="s">
        <v>337</v>
      </c>
      <c r="C68" s="132" t="s">
        <v>302</v>
      </c>
      <c r="D68" s="157" t="s">
        <v>296</v>
      </c>
      <c r="E68" s="170">
        <v>80000</v>
      </c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85">
        <f t="shared" si="218"/>
        <v>37119</v>
      </c>
      <c r="AA68" s="158">
        <v>35000</v>
      </c>
      <c r="AB68" s="158">
        <v>2119</v>
      </c>
      <c r="AC68" s="158"/>
      <c r="AD68" s="183">
        <f t="shared" si="219"/>
        <v>38751</v>
      </c>
      <c r="AE68" s="158">
        <v>35000</v>
      </c>
      <c r="AF68" s="158">
        <v>3751</v>
      </c>
      <c r="AG68" s="158"/>
      <c r="AH68" s="186">
        <f t="shared" si="220"/>
        <v>38766</v>
      </c>
      <c r="AI68" s="172">
        <v>35000</v>
      </c>
      <c r="AJ68" s="172">
        <v>3766</v>
      </c>
      <c r="AK68" s="172"/>
      <c r="AL68" s="186">
        <f t="shared" si="221"/>
        <v>45117</v>
      </c>
      <c r="AM68" s="172">
        <v>35000</v>
      </c>
      <c r="AN68" s="172">
        <v>10117</v>
      </c>
      <c r="AO68" s="172"/>
      <c r="AP68" s="186">
        <f t="shared" si="222"/>
        <v>45062</v>
      </c>
      <c r="AQ68" s="172">
        <v>35000</v>
      </c>
      <c r="AR68" s="172">
        <v>10062</v>
      </c>
      <c r="AS68" s="172"/>
      <c r="AT68" s="186">
        <f t="shared" si="223"/>
        <v>43738</v>
      </c>
      <c r="AU68" s="172">
        <v>35000</v>
      </c>
      <c r="AV68" s="172">
        <v>8738</v>
      </c>
      <c r="AW68" s="172"/>
      <c r="AX68" s="186">
        <f t="shared" si="224"/>
        <v>45370</v>
      </c>
      <c r="AY68" s="172">
        <v>35000</v>
      </c>
      <c r="AZ68" s="172">
        <v>10370</v>
      </c>
      <c r="BA68" s="172"/>
      <c r="BB68" s="172"/>
      <c r="BC68" s="186">
        <f t="shared" si="225"/>
        <v>39518</v>
      </c>
      <c r="BD68" s="158">
        <v>35000</v>
      </c>
      <c r="BE68" s="158">
        <v>4518</v>
      </c>
      <c r="BF68" s="158"/>
      <c r="BG68" s="186">
        <f t="shared" si="226"/>
        <v>46030</v>
      </c>
      <c r="BH68" s="158">
        <v>35000</v>
      </c>
      <c r="BI68" s="158">
        <v>11030</v>
      </c>
      <c r="BJ68" s="158"/>
      <c r="BK68" s="158"/>
      <c r="BL68" s="158"/>
      <c r="BM68" s="158"/>
      <c r="BN68" s="158"/>
      <c r="BO68" s="26">
        <f t="shared" si="212"/>
        <v>6</v>
      </c>
    </row>
    <row r="69" ht="15.75" customHeight="1" outlineLevel="1">
      <c r="A69" s="156"/>
      <c r="B69" s="131"/>
      <c r="C69" s="132"/>
      <c r="D69" s="157"/>
      <c r="E69" s="170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9"/>
      <c r="BC69" s="158"/>
      <c r="BD69" s="158"/>
      <c r="BE69" s="158"/>
      <c r="BF69" s="158"/>
      <c r="BG69" s="158"/>
      <c r="BH69" s="158"/>
      <c r="BI69" s="158"/>
      <c r="BJ69" s="158"/>
      <c r="BK69" s="158"/>
      <c r="BL69" s="158"/>
      <c r="BM69" s="158"/>
      <c r="BN69" s="158"/>
    </row>
    <row r="70" ht="15.75" customHeight="1">
      <c r="A70" s="156" t="s">
        <v>156</v>
      </c>
      <c r="B70" s="131"/>
      <c r="C70" s="132"/>
      <c r="D70" s="157"/>
      <c r="E70" s="170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9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</row>
    <row r="71" ht="15.75" customHeight="1" outlineLevel="1">
      <c r="A71" s="88"/>
      <c r="B71" s="160" t="s">
        <v>338</v>
      </c>
      <c r="C71" s="132" t="s">
        <v>319</v>
      </c>
      <c r="D71" s="157" t="s">
        <v>339</v>
      </c>
      <c r="E71" s="170">
        <v>50000</v>
      </c>
      <c r="F71" s="184">
        <f t="shared" si="213"/>
        <v>0</v>
      </c>
      <c r="G71" s="184"/>
      <c r="H71" s="184"/>
      <c r="I71" s="184"/>
      <c r="J71" s="184">
        <f t="shared" si="214"/>
        <v>0</v>
      </c>
      <c r="K71" s="184"/>
      <c r="L71" s="184"/>
      <c r="M71" s="184"/>
      <c r="N71" s="184">
        <f t="shared" si="215"/>
        <v>0</v>
      </c>
      <c r="O71" s="184"/>
      <c r="P71" s="184"/>
      <c r="Q71" s="184"/>
      <c r="R71" s="184">
        <f t="shared" si="216"/>
        <v>0</v>
      </c>
      <c r="S71" s="184"/>
      <c r="T71" s="184"/>
      <c r="U71" s="184"/>
      <c r="V71" s="184">
        <f t="shared" si="217"/>
        <v>0</v>
      </c>
      <c r="W71" s="164"/>
      <c r="X71" s="164"/>
      <c r="Y71" s="164"/>
      <c r="Z71" s="184">
        <f t="shared" si="218"/>
        <v>0</v>
      </c>
      <c r="AA71" s="164"/>
      <c r="AB71" s="164"/>
      <c r="AC71" s="164"/>
      <c r="AD71" s="184">
        <f t="shared" si="219"/>
        <v>0</v>
      </c>
      <c r="AE71" s="164"/>
      <c r="AF71" s="164"/>
      <c r="AG71" s="164"/>
      <c r="AH71" s="184">
        <f t="shared" si="220"/>
        <v>0</v>
      </c>
      <c r="AI71" s="164"/>
      <c r="AJ71" s="164"/>
      <c r="AK71" s="164"/>
      <c r="AL71" s="184"/>
      <c r="AM71" s="164"/>
      <c r="AN71" s="164"/>
      <c r="AO71" s="164"/>
      <c r="AP71" s="184"/>
      <c r="AQ71" s="164"/>
      <c r="AR71" s="164"/>
      <c r="AS71" s="164"/>
      <c r="AT71" s="186">
        <f t="shared" si="223"/>
        <v>37922</v>
      </c>
      <c r="AU71" s="172">
        <v>35000</v>
      </c>
      <c r="AV71" s="172">
        <v>2922</v>
      </c>
      <c r="AW71" s="172"/>
      <c r="AX71" s="186">
        <f t="shared" si="224"/>
        <v>39060</v>
      </c>
      <c r="AY71" s="172">
        <v>35000</v>
      </c>
      <c r="AZ71" s="172">
        <v>4060</v>
      </c>
      <c r="BA71" s="172"/>
      <c r="BB71" s="172"/>
      <c r="BC71" s="186">
        <f t="shared" si="225"/>
        <v>39160</v>
      </c>
      <c r="BD71" s="158">
        <v>35000</v>
      </c>
      <c r="BE71" s="158">
        <v>4160</v>
      </c>
      <c r="BF71" s="158"/>
      <c r="BG71" s="186">
        <f t="shared" si="226"/>
        <v>36318</v>
      </c>
      <c r="BH71" s="158">
        <v>35000</v>
      </c>
      <c r="BI71" s="158">
        <v>1318</v>
      </c>
      <c r="BJ71" s="158"/>
      <c r="BK71" s="158"/>
      <c r="BL71" s="158"/>
      <c r="BM71" s="158"/>
      <c r="BN71" s="158"/>
      <c r="BO71" s="26">
        <f t="shared" si="212"/>
        <v>4</v>
      </c>
    </row>
    <row r="72" ht="15.75" customHeight="1" outlineLevel="1">
      <c r="A72" s="88"/>
      <c r="B72" s="160" t="s">
        <v>340</v>
      </c>
      <c r="C72" s="132" t="s">
        <v>341</v>
      </c>
      <c r="D72" s="157" t="s">
        <v>342</v>
      </c>
      <c r="E72" s="170">
        <v>80000</v>
      </c>
      <c r="F72" s="183">
        <f t="shared" si="213"/>
        <v>36671</v>
      </c>
      <c r="G72" s="183">
        <v>35000</v>
      </c>
      <c r="H72" s="183">
        <v>1671</v>
      </c>
      <c r="I72" s="183"/>
      <c r="J72" s="183">
        <f t="shared" si="214"/>
        <v>38091</v>
      </c>
      <c r="K72" s="183">
        <v>35000</v>
      </c>
      <c r="L72" s="183">
        <v>3091</v>
      </c>
      <c r="M72" s="183"/>
      <c r="N72" s="183">
        <f t="shared" si="215"/>
        <v>38091</v>
      </c>
      <c r="O72" s="183">
        <v>35000</v>
      </c>
      <c r="P72" s="183">
        <v>3091</v>
      </c>
      <c r="Q72" s="183"/>
      <c r="R72" s="183">
        <f t="shared" si="216"/>
        <v>39170</v>
      </c>
      <c r="S72" s="183">
        <v>35000</v>
      </c>
      <c r="T72" s="183">
        <v>4170</v>
      </c>
      <c r="U72" s="183"/>
      <c r="V72" s="183">
        <f t="shared" si="217"/>
        <v>40546</v>
      </c>
      <c r="W72" s="158">
        <v>35000</v>
      </c>
      <c r="X72" s="158">
        <v>5546</v>
      </c>
      <c r="Y72" s="158"/>
      <c r="Z72" s="183">
        <f t="shared" si="218"/>
        <v>38529</v>
      </c>
      <c r="AA72" s="158">
        <v>35000</v>
      </c>
      <c r="AB72" s="158">
        <v>3529</v>
      </c>
      <c r="AC72" s="158"/>
      <c r="AD72" s="183">
        <f t="shared" si="219"/>
        <v>39432</v>
      </c>
      <c r="AE72" s="158">
        <v>35000</v>
      </c>
      <c r="AF72" s="158">
        <v>4432</v>
      </c>
      <c r="AG72" s="158"/>
      <c r="AH72" s="186">
        <f t="shared" si="220"/>
        <v>45579</v>
      </c>
      <c r="AI72" s="158">
        <v>35000</v>
      </c>
      <c r="AJ72" s="158">
        <v>10579</v>
      </c>
      <c r="AK72" s="158"/>
      <c r="AL72" s="187">
        <f t="shared" si="221"/>
        <v>122188</v>
      </c>
      <c r="AM72" s="166">
        <v>35000</v>
      </c>
      <c r="AN72" s="166">
        <v>87188</v>
      </c>
      <c r="AO72" s="166"/>
      <c r="AP72" s="187">
        <f t="shared" si="222"/>
        <v>146440</v>
      </c>
      <c r="AQ72" s="166">
        <v>35000</v>
      </c>
      <c r="AR72" s="166">
        <v>111440</v>
      </c>
      <c r="AS72" s="166"/>
      <c r="AT72" s="187">
        <f t="shared" si="223"/>
        <v>166650</v>
      </c>
      <c r="AU72" s="166">
        <v>35000</v>
      </c>
      <c r="AV72" s="166">
        <v>131650</v>
      </c>
      <c r="AW72" s="166"/>
      <c r="AX72" s="187">
        <f t="shared" si="224"/>
        <v>118736</v>
      </c>
      <c r="AY72" s="166">
        <v>35000</v>
      </c>
      <c r="AZ72" s="166">
        <v>83736</v>
      </c>
      <c r="BA72" s="166"/>
      <c r="BB72" s="166"/>
      <c r="BC72" s="187">
        <f t="shared" si="225"/>
        <v>103746</v>
      </c>
      <c r="BD72" s="158">
        <v>35000</v>
      </c>
      <c r="BE72" s="158">
        <v>68746</v>
      </c>
      <c r="BF72" s="158"/>
      <c r="BG72" s="187">
        <f t="shared" si="226"/>
        <v>101066</v>
      </c>
      <c r="BH72" s="158">
        <v>35000</v>
      </c>
      <c r="BI72" s="158">
        <v>66066</v>
      </c>
      <c r="BJ72" s="158"/>
      <c r="BK72" s="158"/>
      <c r="BL72" s="158"/>
      <c r="BM72" s="158"/>
      <c r="BN72" s="158"/>
      <c r="BO72" s="26">
        <f t="shared" si="212"/>
        <v>6</v>
      </c>
    </row>
    <row r="73" ht="15.75" customHeight="1" outlineLevel="1">
      <c r="A73" s="88"/>
      <c r="B73" s="160" t="s">
        <v>343</v>
      </c>
      <c r="C73" s="132" t="s">
        <v>341</v>
      </c>
      <c r="D73" s="157" t="s">
        <v>342</v>
      </c>
      <c r="E73" s="170">
        <v>80000</v>
      </c>
      <c r="F73" s="183">
        <f t="shared" si="213"/>
        <v>40040</v>
      </c>
      <c r="G73" s="183">
        <v>35000</v>
      </c>
      <c r="H73" s="183">
        <v>5040</v>
      </c>
      <c r="I73" s="183"/>
      <c r="J73" s="183">
        <f t="shared" si="214"/>
        <v>41342</v>
      </c>
      <c r="K73" s="183">
        <v>35000</v>
      </c>
      <c r="L73" s="183">
        <v>6342</v>
      </c>
      <c r="M73" s="183"/>
      <c r="N73" s="183">
        <f t="shared" si="215"/>
        <v>41400</v>
      </c>
      <c r="O73" s="183">
        <v>35000</v>
      </c>
      <c r="P73" s="183">
        <v>6400</v>
      </c>
      <c r="Q73" s="183"/>
      <c r="R73" s="183">
        <f t="shared" si="216"/>
        <v>44898</v>
      </c>
      <c r="S73" s="183">
        <v>35000</v>
      </c>
      <c r="T73" s="183">
        <v>9898</v>
      </c>
      <c r="U73" s="183"/>
      <c r="V73" s="183">
        <f t="shared" si="217"/>
        <v>40946</v>
      </c>
      <c r="W73" s="158">
        <v>35000</v>
      </c>
      <c r="X73" s="158">
        <v>5946</v>
      </c>
      <c r="Y73" s="158"/>
      <c r="Z73" s="183">
        <f t="shared" si="218"/>
        <v>42133</v>
      </c>
      <c r="AA73" s="158">
        <v>35000</v>
      </c>
      <c r="AB73" s="158">
        <v>7133</v>
      </c>
      <c r="AC73" s="158"/>
      <c r="AD73" s="183">
        <f t="shared" si="219"/>
        <v>40224</v>
      </c>
      <c r="AE73" s="158">
        <v>35000</v>
      </c>
      <c r="AF73" s="158">
        <v>5224</v>
      </c>
      <c r="AG73" s="158"/>
      <c r="AH73" s="186">
        <f t="shared" si="220"/>
        <v>42276</v>
      </c>
      <c r="AI73" s="158">
        <v>35000</v>
      </c>
      <c r="AJ73" s="158">
        <v>7276</v>
      </c>
      <c r="AK73" s="158"/>
      <c r="AL73" s="186">
        <f t="shared" si="221"/>
        <v>37780</v>
      </c>
      <c r="AM73" s="172">
        <v>35000</v>
      </c>
      <c r="AN73" s="172">
        <v>2780</v>
      </c>
      <c r="AO73" s="172"/>
      <c r="AP73" s="186">
        <f t="shared" si="222"/>
        <v>39554</v>
      </c>
      <c r="AQ73" s="172">
        <v>35000</v>
      </c>
      <c r="AR73" s="172">
        <v>4554</v>
      </c>
      <c r="AS73" s="172"/>
      <c r="AT73" s="186">
        <f t="shared" si="223"/>
        <v>42292</v>
      </c>
      <c r="AU73" s="172">
        <v>35000</v>
      </c>
      <c r="AV73" s="172">
        <v>7292</v>
      </c>
      <c r="AW73" s="172"/>
      <c r="AX73" s="186">
        <f t="shared" si="224"/>
        <v>50955</v>
      </c>
      <c r="AY73" s="172">
        <v>35000</v>
      </c>
      <c r="AZ73" s="172">
        <v>15955</v>
      </c>
      <c r="BA73" s="172"/>
      <c r="BB73" s="172"/>
      <c r="BC73" s="186">
        <f t="shared" si="225"/>
        <v>45862</v>
      </c>
      <c r="BD73" s="158">
        <v>35000</v>
      </c>
      <c r="BE73" s="158">
        <v>10862</v>
      </c>
      <c r="BF73" s="158"/>
      <c r="BG73" s="186">
        <f t="shared" si="226"/>
        <v>48843</v>
      </c>
      <c r="BH73" s="158">
        <v>35000</v>
      </c>
      <c r="BI73" s="158">
        <v>13843</v>
      </c>
      <c r="BJ73" s="158"/>
      <c r="BK73" s="158"/>
      <c r="BL73" s="158"/>
      <c r="BM73" s="158"/>
      <c r="BN73" s="158"/>
      <c r="BO73" s="26">
        <f t="shared" si="212"/>
        <v>6</v>
      </c>
    </row>
    <row r="74" ht="15.75" customHeight="1" outlineLevel="1">
      <c r="A74" s="88"/>
      <c r="B74" s="160" t="s">
        <v>344</v>
      </c>
      <c r="C74" s="132" t="s">
        <v>345</v>
      </c>
      <c r="D74" s="157" t="s">
        <v>346</v>
      </c>
      <c r="E74" s="170">
        <v>70000</v>
      </c>
      <c r="F74" s="183">
        <f t="shared" si="213"/>
        <v>39035</v>
      </c>
      <c r="G74" s="183">
        <v>35000</v>
      </c>
      <c r="H74" s="183">
        <v>4035</v>
      </c>
      <c r="I74" s="183"/>
      <c r="J74" s="183">
        <f t="shared" si="214"/>
        <v>37646</v>
      </c>
      <c r="K74" s="183">
        <v>35000</v>
      </c>
      <c r="L74" s="183">
        <v>2646</v>
      </c>
      <c r="M74" s="183"/>
      <c r="N74" s="183">
        <f t="shared" si="215"/>
        <v>39106</v>
      </c>
      <c r="O74" s="183">
        <v>35000</v>
      </c>
      <c r="P74" s="183">
        <v>4106</v>
      </c>
      <c r="Q74" s="183"/>
      <c r="R74" s="183">
        <f t="shared" si="216"/>
        <v>39176</v>
      </c>
      <c r="S74" s="183">
        <v>35000</v>
      </c>
      <c r="T74" s="183">
        <v>4176</v>
      </c>
      <c r="U74" s="183"/>
      <c r="V74" s="183">
        <f t="shared" si="217"/>
        <v>40480</v>
      </c>
      <c r="W74" s="158">
        <v>35000</v>
      </c>
      <c r="X74" s="158">
        <v>5480</v>
      </c>
      <c r="Y74" s="158"/>
      <c r="Z74" s="183">
        <f t="shared" si="218"/>
        <v>40775</v>
      </c>
      <c r="AA74" s="158">
        <v>35000</v>
      </c>
      <c r="AB74" s="158">
        <v>5775</v>
      </c>
      <c r="AC74" s="158"/>
      <c r="AD74" s="183">
        <f t="shared" si="219"/>
        <v>41186</v>
      </c>
      <c r="AE74" s="158">
        <v>35000</v>
      </c>
      <c r="AF74" s="158">
        <v>6186</v>
      </c>
      <c r="AG74" s="158"/>
      <c r="AH74" s="186">
        <f t="shared" si="220"/>
        <v>42436</v>
      </c>
      <c r="AI74" s="158">
        <v>35000</v>
      </c>
      <c r="AJ74" s="158">
        <v>7436</v>
      </c>
      <c r="AK74" s="158"/>
      <c r="AL74" s="186">
        <f t="shared" si="221"/>
        <v>43426</v>
      </c>
      <c r="AM74" s="172">
        <v>35000</v>
      </c>
      <c r="AN74" s="172">
        <v>8426</v>
      </c>
      <c r="AO74" s="172"/>
      <c r="AP74" s="186">
        <f t="shared" si="222"/>
        <v>49555</v>
      </c>
      <c r="AQ74" s="172">
        <v>35000</v>
      </c>
      <c r="AR74" s="172">
        <v>14555</v>
      </c>
      <c r="AS74" s="172"/>
      <c r="AT74" s="186">
        <f t="shared" si="223"/>
        <v>43617</v>
      </c>
      <c r="AU74" s="172">
        <v>35000</v>
      </c>
      <c r="AV74" s="172">
        <v>8617</v>
      </c>
      <c r="AW74" s="172"/>
      <c r="AX74" s="186">
        <f t="shared" si="224"/>
        <v>55591</v>
      </c>
      <c r="AY74" s="172">
        <v>35000</v>
      </c>
      <c r="AZ74" s="172">
        <v>20591</v>
      </c>
      <c r="BA74" s="172"/>
      <c r="BB74" s="172"/>
      <c r="BC74" s="186">
        <f t="shared" si="225"/>
        <v>40936</v>
      </c>
      <c r="BD74" s="158">
        <v>35000</v>
      </c>
      <c r="BE74" s="158">
        <v>5936</v>
      </c>
      <c r="BF74" s="158"/>
      <c r="BG74" s="186">
        <f t="shared" si="226"/>
        <v>41114</v>
      </c>
      <c r="BH74" s="158">
        <v>35000</v>
      </c>
      <c r="BI74" s="158">
        <v>6114</v>
      </c>
      <c r="BJ74" s="158"/>
      <c r="BK74" s="158"/>
      <c r="BL74" s="158"/>
      <c r="BM74" s="158"/>
      <c r="BN74" s="158"/>
      <c r="BO74" s="26">
        <f t="shared" ref="BO74:BO83" si="230">COUNT(AL74,AP74,AT74,AX74,BC74,BG74)</f>
        <v>6</v>
      </c>
    </row>
    <row r="75" ht="15.75" customHeight="1" outlineLevel="1">
      <c r="A75" s="11"/>
      <c r="B75" s="160" t="s">
        <v>347</v>
      </c>
      <c r="C75" s="132" t="s">
        <v>348</v>
      </c>
      <c r="D75" s="157"/>
      <c r="E75" s="170"/>
      <c r="F75" s="183">
        <f t="shared" si="213"/>
        <v>31469</v>
      </c>
      <c r="G75" s="158">
        <v>30000</v>
      </c>
      <c r="H75" s="158">
        <v>1469</v>
      </c>
      <c r="I75" s="158"/>
      <c r="J75" s="184">
        <f t="shared" si="214"/>
        <v>0</v>
      </c>
      <c r="K75" s="164"/>
      <c r="L75" s="164"/>
      <c r="M75" s="164"/>
      <c r="N75" s="184">
        <f t="shared" si="215"/>
        <v>0</v>
      </c>
      <c r="O75" s="164"/>
      <c r="P75" s="164"/>
      <c r="Q75" s="164"/>
      <c r="R75" s="184">
        <f t="shared" si="216"/>
        <v>0</v>
      </c>
      <c r="S75" s="164"/>
      <c r="T75" s="164"/>
      <c r="U75" s="164"/>
      <c r="V75" s="184">
        <f t="shared" si="217"/>
        <v>0</v>
      </c>
      <c r="W75" s="164"/>
      <c r="X75" s="164"/>
      <c r="Y75" s="164"/>
      <c r="Z75" s="184">
        <f t="shared" si="218"/>
        <v>0</v>
      </c>
      <c r="AA75" s="164"/>
      <c r="AB75" s="164"/>
      <c r="AC75" s="164"/>
      <c r="AD75" s="184">
        <f t="shared" si="219"/>
        <v>0</v>
      </c>
      <c r="AE75" s="164"/>
      <c r="AF75" s="164"/>
      <c r="AG75" s="164"/>
      <c r="AH75" s="184">
        <f t="shared" si="220"/>
        <v>0</v>
      </c>
      <c r="AI75" s="164"/>
      <c r="AJ75" s="164"/>
      <c r="AK75" s="164"/>
      <c r="AL75" s="184">
        <f t="shared" si="221"/>
        <v>0</v>
      </c>
      <c r="AM75" s="164"/>
      <c r="AN75" s="164"/>
      <c r="AO75" s="164"/>
      <c r="AP75" s="184">
        <f t="shared" si="222"/>
        <v>0</v>
      </c>
      <c r="AQ75" s="164"/>
      <c r="AR75" s="164"/>
      <c r="AS75" s="164"/>
      <c r="AT75" s="184">
        <f t="shared" si="223"/>
        <v>0</v>
      </c>
      <c r="AU75" s="164"/>
      <c r="AV75" s="164"/>
      <c r="AW75" s="164"/>
      <c r="AX75" s="184">
        <f t="shared" si="224"/>
        <v>0</v>
      </c>
      <c r="AY75" s="164"/>
      <c r="AZ75" s="164"/>
      <c r="BA75" s="164"/>
      <c r="BB75" s="159"/>
      <c r="BC75" s="184">
        <f t="shared" si="225"/>
        <v>0</v>
      </c>
      <c r="BD75" s="164"/>
      <c r="BE75" s="164"/>
      <c r="BF75" s="164"/>
      <c r="BG75" s="184">
        <f t="shared" si="226"/>
        <v>0</v>
      </c>
      <c r="BH75" s="164"/>
      <c r="BI75" s="164"/>
      <c r="BJ75" s="164"/>
      <c r="BK75" s="164"/>
      <c r="BL75" s="158"/>
      <c r="BM75" s="158"/>
      <c r="BN75" s="158"/>
      <c r="BO75" s="26">
        <f t="shared" si="230"/>
        <v>6</v>
      </c>
    </row>
    <row r="76" ht="15.75" customHeight="1" outlineLevel="1">
      <c r="A76" s="11"/>
      <c r="B76" s="160" t="s">
        <v>349</v>
      </c>
      <c r="C76" s="132" t="s">
        <v>350</v>
      </c>
      <c r="D76" s="157"/>
      <c r="E76" s="170"/>
      <c r="F76" s="183">
        <f t="shared" si="213"/>
        <v>35000</v>
      </c>
      <c r="G76" s="158">
        <v>35000</v>
      </c>
      <c r="H76" s="158">
        <v>0</v>
      </c>
      <c r="I76" s="158"/>
      <c r="J76" s="184">
        <f t="shared" si="214"/>
        <v>0</v>
      </c>
      <c r="K76" s="164"/>
      <c r="L76" s="164"/>
      <c r="M76" s="164"/>
      <c r="N76" s="184">
        <f t="shared" si="215"/>
        <v>0</v>
      </c>
      <c r="O76" s="164"/>
      <c r="P76" s="164"/>
      <c r="Q76" s="164"/>
      <c r="R76" s="184">
        <f t="shared" si="216"/>
        <v>0</v>
      </c>
      <c r="S76" s="164"/>
      <c r="T76" s="164"/>
      <c r="U76" s="164"/>
      <c r="V76" s="184">
        <f t="shared" si="217"/>
        <v>0</v>
      </c>
      <c r="W76" s="164"/>
      <c r="X76" s="164"/>
      <c r="Y76" s="164"/>
      <c r="Z76" s="184">
        <f t="shared" si="218"/>
        <v>0</v>
      </c>
      <c r="AA76" s="164"/>
      <c r="AB76" s="164"/>
      <c r="AC76" s="164"/>
      <c r="AD76" s="184">
        <f t="shared" si="219"/>
        <v>0</v>
      </c>
      <c r="AE76" s="164"/>
      <c r="AF76" s="164"/>
      <c r="AG76" s="164"/>
      <c r="AH76" s="184">
        <f t="shared" si="220"/>
        <v>0</v>
      </c>
      <c r="AI76" s="164"/>
      <c r="AJ76" s="164"/>
      <c r="AK76" s="164"/>
      <c r="AL76" s="184">
        <f t="shared" si="221"/>
        <v>0</v>
      </c>
      <c r="AM76" s="164"/>
      <c r="AN76" s="164"/>
      <c r="AO76" s="164"/>
      <c r="AP76" s="184">
        <f t="shared" si="222"/>
        <v>0</v>
      </c>
      <c r="AQ76" s="164"/>
      <c r="AR76" s="164"/>
      <c r="AS76" s="164"/>
      <c r="AT76" s="184">
        <f t="shared" si="223"/>
        <v>0</v>
      </c>
      <c r="AU76" s="164"/>
      <c r="AV76" s="164"/>
      <c r="AW76" s="164"/>
      <c r="AX76" s="184">
        <f t="shared" si="224"/>
        <v>0</v>
      </c>
      <c r="AY76" s="164"/>
      <c r="AZ76" s="164"/>
      <c r="BA76" s="164"/>
      <c r="BB76" s="159"/>
      <c r="BC76" s="184">
        <f t="shared" si="225"/>
        <v>0</v>
      </c>
      <c r="BD76" s="164"/>
      <c r="BE76" s="164"/>
      <c r="BF76" s="164"/>
      <c r="BG76" s="184">
        <f t="shared" si="226"/>
        <v>0</v>
      </c>
      <c r="BH76" s="164"/>
      <c r="BI76" s="164"/>
      <c r="BJ76" s="164"/>
      <c r="BK76" s="164"/>
      <c r="BL76" s="158"/>
      <c r="BM76" s="158"/>
      <c r="BN76" s="158"/>
      <c r="BO76" s="26">
        <f t="shared" si="230"/>
        <v>6</v>
      </c>
    </row>
    <row r="77" ht="15.75" customHeight="1" outlineLevel="1">
      <c r="A77" s="11"/>
      <c r="B77" s="160" t="s">
        <v>351</v>
      </c>
      <c r="C77" s="132" t="s">
        <v>341</v>
      </c>
      <c r="D77" s="157" t="s">
        <v>342</v>
      </c>
      <c r="E77" s="170">
        <v>80000</v>
      </c>
      <c r="F77" s="183">
        <f t="shared" si="213"/>
        <v>1876</v>
      </c>
      <c r="G77" s="158"/>
      <c r="H77" s="158">
        <v>1876</v>
      </c>
      <c r="I77" s="158"/>
      <c r="J77" s="183">
        <f t="shared" si="214"/>
        <v>39173</v>
      </c>
      <c r="K77" s="158">
        <v>35000</v>
      </c>
      <c r="L77" s="158">
        <v>4173</v>
      </c>
      <c r="M77" s="158"/>
      <c r="N77" s="183">
        <f t="shared" si="215"/>
        <v>39173</v>
      </c>
      <c r="O77" s="158">
        <v>35000</v>
      </c>
      <c r="P77" s="158">
        <v>4173</v>
      </c>
      <c r="Q77" s="158"/>
      <c r="R77" s="183">
        <f t="shared" si="216"/>
        <v>39724</v>
      </c>
      <c r="S77" s="158">
        <v>35000</v>
      </c>
      <c r="T77" s="158">
        <v>4724</v>
      </c>
      <c r="U77" s="158"/>
      <c r="V77" s="183">
        <f t="shared" si="217"/>
        <v>36549</v>
      </c>
      <c r="W77" s="158">
        <v>35000</v>
      </c>
      <c r="X77" s="158">
        <v>1549</v>
      </c>
      <c r="Y77" s="158"/>
      <c r="Z77" s="184">
        <f t="shared" si="218"/>
        <v>0</v>
      </c>
      <c r="AA77" s="164"/>
      <c r="AB77" s="164"/>
      <c r="AC77" s="164"/>
      <c r="AD77" s="184">
        <f t="shared" si="219"/>
        <v>0</v>
      </c>
      <c r="AE77" s="164"/>
      <c r="AF77" s="164"/>
      <c r="AG77" s="164"/>
      <c r="AH77" s="184">
        <f t="shared" si="220"/>
        <v>0</v>
      </c>
      <c r="AI77" s="164"/>
      <c r="AJ77" s="164"/>
      <c r="AK77" s="164"/>
      <c r="AL77" s="184">
        <f t="shared" si="221"/>
        <v>0</v>
      </c>
      <c r="AM77" s="164"/>
      <c r="AN77" s="164"/>
      <c r="AO77" s="164"/>
      <c r="AP77" s="184">
        <f t="shared" si="222"/>
        <v>0</v>
      </c>
      <c r="AQ77" s="164"/>
      <c r="AR77" s="164"/>
      <c r="AS77" s="164"/>
      <c r="AT77" s="184">
        <f t="shared" si="223"/>
        <v>0</v>
      </c>
      <c r="AU77" s="164"/>
      <c r="AV77" s="164"/>
      <c r="AW77" s="164"/>
      <c r="AX77" s="184">
        <f t="shared" si="224"/>
        <v>0</v>
      </c>
      <c r="AY77" s="164"/>
      <c r="AZ77" s="164"/>
      <c r="BA77" s="164"/>
      <c r="BB77" s="159"/>
      <c r="BC77" s="184">
        <f t="shared" si="225"/>
        <v>0</v>
      </c>
      <c r="BD77" s="164"/>
      <c r="BE77" s="164"/>
      <c r="BF77" s="164"/>
      <c r="BG77" s="184">
        <f t="shared" si="226"/>
        <v>0</v>
      </c>
      <c r="BH77" s="164"/>
      <c r="BI77" s="164"/>
      <c r="BJ77" s="164"/>
      <c r="BK77" s="164"/>
      <c r="BL77" s="158"/>
      <c r="BM77" s="158"/>
      <c r="BN77" s="158"/>
      <c r="BO77" s="26">
        <f t="shared" si="230"/>
        <v>6</v>
      </c>
    </row>
    <row r="78" ht="15.75" customHeight="1" outlineLevel="1">
      <c r="A78" s="11"/>
      <c r="B78" s="160" t="s">
        <v>352</v>
      </c>
      <c r="C78" s="132" t="s">
        <v>341</v>
      </c>
      <c r="D78" s="157" t="s">
        <v>342</v>
      </c>
      <c r="E78" s="170">
        <v>80000</v>
      </c>
      <c r="F78" s="184">
        <f t="shared" si="213"/>
        <v>0</v>
      </c>
      <c r="G78" s="164"/>
      <c r="H78" s="164"/>
      <c r="I78" s="164"/>
      <c r="J78" s="183">
        <f t="shared" si="214"/>
        <v>37446</v>
      </c>
      <c r="K78" s="158">
        <v>35000</v>
      </c>
      <c r="L78" s="158">
        <v>2446</v>
      </c>
      <c r="M78" s="158"/>
      <c r="N78" s="183">
        <f t="shared" si="215"/>
        <v>37884</v>
      </c>
      <c r="O78" s="158">
        <v>35000</v>
      </c>
      <c r="P78" s="158">
        <v>2884</v>
      </c>
      <c r="Q78" s="158"/>
      <c r="R78" s="183">
        <f t="shared" si="216"/>
        <v>37071</v>
      </c>
      <c r="S78" s="158">
        <v>35000</v>
      </c>
      <c r="T78" s="158">
        <v>2071</v>
      </c>
      <c r="U78" s="158"/>
      <c r="V78" s="184">
        <f t="shared" si="217"/>
        <v>0</v>
      </c>
      <c r="W78" s="164"/>
      <c r="X78" s="164"/>
      <c r="Y78" s="164"/>
      <c r="Z78" s="184">
        <f t="shared" si="218"/>
        <v>0</v>
      </c>
      <c r="AA78" s="164"/>
      <c r="AB78" s="164"/>
      <c r="AC78" s="164"/>
      <c r="AD78" s="184">
        <f t="shared" si="219"/>
        <v>0</v>
      </c>
      <c r="AE78" s="164"/>
      <c r="AF78" s="164"/>
      <c r="AG78" s="164"/>
      <c r="AH78" s="184">
        <f t="shared" si="220"/>
        <v>0</v>
      </c>
      <c r="AI78" s="164"/>
      <c r="AJ78" s="164"/>
      <c r="AK78" s="164"/>
      <c r="AL78" s="184">
        <f t="shared" si="221"/>
        <v>0</v>
      </c>
      <c r="AM78" s="164"/>
      <c r="AN78" s="164"/>
      <c r="AO78" s="164"/>
      <c r="AP78" s="184">
        <f t="shared" si="222"/>
        <v>0</v>
      </c>
      <c r="AQ78" s="164"/>
      <c r="AR78" s="164"/>
      <c r="AS78" s="164"/>
      <c r="AT78" s="184">
        <f t="shared" si="223"/>
        <v>0</v>
      </c>
      <c r="AU78" s="164"/>
      <c r="AV78" s="164"/>
      <c r="AW78" s="164"/>
      <c r="AX78" s="184">
        <f t="shared" si="224"/>
        <v>0</v>
      </c>
      <c r="AY78" s="164"/>
      <c r="AZ78" s="164"/>
      <c r="BA78" s="164"/>
      <c r="BB78" s="159"/>
      <c r="BC78" s="184">
        <f t="shared" si="225"/>
        <v>0</v>
      </c>
      <c r="BD78" s="164"/>
      <c r="BE78" s="164"/>
      <c r="BF78" s="164"/>
      <c r="BG78" s="184">
        <f t="shared" si="226"/>
        <v>0</v>
      </c>
      <c r="BH78" s="164"/>
      <c r="BI78" s="164"/>
      <c r="BJ78" s="164"/>
      <c r="BK78" s="164"/>
      <c r="BL78" s="158"/>
      <c r="BM78" s="158"/>
      <c r="BN78" s="158"/>
      <c r="BO78" s="26">
        <f t="shared" si="230"/>
        <v>6</v>
      </c>
    </row>
    <row r="79" ht="15.75" customHeight="1" outlineLevel="1">
      <c r="A79" s="11"/>
      <c r="B79" s="160" t="s">
        <v>353</v>
      </c>
      <c r="C79" s="132" t="s">
        <v>354</v>
      </c>
      <c r="D79" s="157" t="s">
        <v>339</v>
      </c>
      <c r="E79" s="170">
        <v>50000</v>
      </c>
      <c r="F79" s="183">
        <f t="shared" si="213"/>
        <v>37144</v>
      </c>
      <c r="G79" s="158">
        <v>35000</v>
      </c>
      <c r="H79" s="158">
        <v>2144</v>
      </c>
      <c r="I79" s="158"/>
      <c r="J79" s="183">
        <f t="shared" si="214"/>
        <v>39649</v>
      </c>
      <c r="K79" s="158">
        <v>35000</v>
      </c>
      <c r="L79" s="158">
        <v>4649</v>
      </c>
      <c r="M79" s="158"/>
      <c r="N79" s="184">
        <f t="shared" si="215"/>
        <v>0</v>
      </c>
      <c r="O79" s="164"/>
      <c r="P79" s="164"/>
      <c r="Q79" s="164"/>
      <c r="R79" s="184">
        <f t="shared" si="216"/>
        <v>0</v>
      </c>
      <c r="S79" s="164"/>
      <c r="T79" s="164"/>
      <c r="U79" s="164"/>
      <c r="V79" s="184">
        <f t="shared" si="217"/>
        <v>0</v>
      </c>
      <c r="W79" s="164"/>
      <c r="X79" s="164"/>
      <c r="Y79" s="164"/>
      <c r="Z79" s="184">
        <f t="shared" si="218"/>
        <v>0</v>
      </c>
      <c r="AA79" s="164"/>
      <c r="AB79" s="164"/>
      <c r="AC79" s="164"/>
      <c r="AD79" s="184">
        <f t="shared" si="219"/>
        <v>0</v>
      </c>
      <c r="AE79" s="164"/>
      <c r="AF79" s="164"/>
      <c r="AG79" s="164"/>
      <c r="AH79" s="184">
        <f t="shared" si="220"/>
        <v>0</v>
      </c>
      <c r="AI79" s="164"/>
      <c r="AJ79" s="164"/>
      <c r="AK79" s="164"/>
      <c r="AL79" s="184">
        <f t="shared" si="221"/>
        <v>0</v>
      </c>
      <c r="AM79" s="164"/>
      <c r="AN79" s="164"/>
      <c r="AO79" s="164"/>
      <c r="AP79" s="184">
        <f t="shared" si="222"/>
        <v>0</v>
      </c>
      <c r="AQ79" s="164"/>
      <c r="AR79" s="164"/>
      <c r="AS79" s="164"/>
      <c r="AT79" s="184">
        <f t="shared" si="223"/>
        <v>0</v>
      </c>
      <c r="AU79" s="164"/>
      <c r="AV79" s="164"/>
      <c r="AW79" s="164"/>
      <c r="AX79" s="184">
        <f t="shared" si="224"/>
        <v>0</v>
      </c>
      <c r="AY79" s="164"/>
      <c r="AZ79" s="164"/>
      <c r="BA79" s="164"/>
      <c r="BB79" s="159"/>
      <c r="BC79" s="184">
        <f t="shared" si="225"/>
        <v>0</v>
      </c>
      <c r="BD79" s="164"/>
      <c r="BE79" s="164"/>
      <c r="BF79" s="164"/>
      <c r="BG79" s="184">
        <f t="shared" si="226"/>
        <v>0</v>
      </c>
      <c r="BH79" s="164"/>
      <c r="BI79" s="164"/>
      <c r="BJ79" s="164"/>
      <c r="BK79" s="164"/>
      <c r="BL79" s="158"/>
      <c r="BM79" s="158"/>
      <c r="BN79" s="158"/>
      <c r="BO79" s="26">
        <f t="shared" si="230"/>
        <v>6</v>
      </c>
    </row>
    <row r="80" ht="15.75" customHeight="1" outlineLevel="1">
      <c r="A80" s="11"/>
      <c r="B80" s="160" t="s">
        <v>235</v>
      </c>
      <c r="C80" s="132"/>
      <c r="D80" s="157"/>
      <c r="E80" s="170"/>
      <c r="F80" s="184">
        <f t="shared" si="213"/>
        <v>0</v>
      </c>
      <c r="G80" s="164"/>
      <c r="H80" s="164"/>
      <c r="I80" s="164"/>
      <c r="J80" s="184">
        <f t="shared" si="214"/>
        <v>0</v>
      </c>
      <c r="K80" s="164"/>
      <c r="L80" s="164"/>
      <c r="M80" s="164"/>
      <c r="N80" s="184">
        <f t="shared" si="215"/>
        <v>0</v>
      </c>
      <c r="O80" s="164"/>
      <c r="P80" s="164"/>
      <c r="Q80" s="164"/>
      <c r="R80" s="184">
        <f t="shared" si="216"/>
        <v>0</v>
      </c>
      <c r="S80" s="164"/>
      <c r="T80" s="164"/>
      <c r="U80" s="164"/>
      <c r="V80" s="184">
        <f t="shared" si="217"/>
        <v>0</v>
      </c>
      <c r="W80" s="164"/>
      <c r="X80" s="164"/>
      <c r="Y80" s="164"/>
      <c r="Z80" s="184">
        <f t="shared" si="218"/>
        <v>0</v>
      </c>
      <c r="AA80" s="164"/>
      <c r="AB80" s="164"/>
      <c r="AC80" s="164"/>
      <c r="AD80" s="184">
        <f t="shared" si="219"/>
        <v>0</v>
      </c>
      <c r="AE80" s="164"/>
      <c r="AF80" s="164"/>
      <c r="AG80" s="164"/>
      <c r="AH80" s="184">
        <f t="shared" si="220"/>
        <v>0</v>
      </c>
      <c r="AI80" s="164"/>
      <c r="AJ80" s="164"/>
      <c r="AK80" s="164"/>
      <c r="AL80" s="184">
        <f t="shared" si="221"/>
        <v>0</v>
      </c>
      <c r="AM80" s="164"/>
      <c r="AN80" s="164"/>
      <c r="AO80" s="164"/>
      <c r="AP80" s="184">
        <f t="shared" si="222"/>
        <v>0</v>
      </c>
      <c r="AQ80" s="164"/>
      <c r="AR80" s="164"/>
      <c r="AS80" s="164"/>
      <c r="AT80" s="184">
        <f t="shared" si="223"/>
        <v>0</v>
      </c>
      <c r="AU80" s="164"/>
      <c r="AV80" s="164"/>
      <c r="AW80" s="164"/>
      <c r="AX80" s="184">
        <f t="shared" si="224"/>
        <v>0</v>
      </c>
      <c r="AY80" s="164"/>
      <c r="AZ80" s="164"/>
      <c r="BA80" s="164"/>
      <c r="BB80" s="159"/>
      <c r="BC80" s="184">
        <f t="shared" si="225"/>
        <v>0</v>
      </c>
      <c r="BD80" s="164"/>
      <c r="BE80" s="164"/>
      <c r="BF80" s="164"/>
      <c r="BG80" s="184">
        <f t="shared" si="226"/>
        <v>0</v>
      </c>
      <c r="BH80" s="164"/>
      <c r="BI80" s="164"/>
      <c r="BJ80" s="164"/>
      <c r="BK80" s="164"/>
      <c r="BL80" s="158"/>
      <c r="BM80" s="158"/>
      <c r="BN80" s="158"/>
      <c r="BO80" s="26">
        <f t="shared" si="230"/>
        <v>6</v>
      </c>
    </row>
    <row r="81" ht="15.75" customHeight="1" outlineLevel="1">
      <c r="A81" s="11"/>
      <c r="B81" s="160" t="s">
        <v>238</v>
      </c>
      <c r="C81" s="132"/>
      <c r="D81" s="157"/>
      <c r="E81" s="170"/>
      <c r="F81" s="184">
        <f t="shared" si="213"/>
        <v>0</v>
      </c>
      <c r="G81" s="164"/>
      <c r="H81" s="164"/>
      <c r="I81" s="164"/>
      <c r="J81" s="184">
        <f t="shared" si="214"/>
        <v>0</v>
      </c>
      <c r="K81" s="164"/>
      <c r="L81" s="164"/>
      <c r="M81" s="164"/>
      <c r="N81" s="184">
        <f t="shared" si="215"/>
        <v>0</v>
      </c>
      <c r="O81" s="164"/>
      <c r="P81" s="164"/>
      <c r="Q81" s="164"/>
      <c r="R81" s="184">
        <f t="shared" si="216"/>
        <v>0</v>
      </c>
      <c r="S81" s="164"/>
      <c r="T81" s="164"/>
      <c r="U81" s="164"/>
      <c r="V81" s="184">
        <f t="shared" si="217"/>
        <v>0</v>
      </c>
      <c r="W81" s="164"/>
      <c r="X81" s="164"/>
      <c r="Y81" s="164"/>
      <c r="Z81" s="184">
        <f t="shared" si="218"/>
        <v>0</v>
      </c>
      <c r="AA81" s="164"/>
      <c r="AB81" s="164"/>
      <c r="AC81" s="164"/>
      <c r="AD81" s="184">
        <f t="shared" si="219"/>
        <v>0</v>
      </c>
      <c r="AE81" s="164"/>
      <c r="AF81" s="164"/>
      <c r="AG81" s="164"/>
      <c r="AH81" s="184">
        <f t="shared" si="220"/>
        <v>0</v>
      </c>
      <c r="AI81" s="164"/>
      <c r="AJ81" s="164"/>
      <c r="AK81" s="164"/>
      <c r="AL81" s="184">
        <f t="shared" si="221"/>
        <v>0</v>
      </c>
      <c r="AM81" s="164"/>
      <c r="AN81" s="164"/>
      <c r="AO81" s="164"/>
      <c r="AP81" s="184">
        <f t="shared" si="222"/>
        <v>0</v>
      </c>
      <c r="AQ81" s="164"/>
      <c r="AR81" s="164"/>
      <c r="AS81" s="164"/>
      <c r="AT81" s="184">
        <f t="shared" si="223"/>
        <v>0</v>
      </c>
      <c r="AU81" s="164"/>
      <c r="AV81" s="164"/>
      <c r="AW81" s="164"/>
      <c r="AX81" s="184">
        <f t="shared" si="224"/>
        <v>0</v>
      </c>
      <c r="AY81" s="164"/>
      <c r="AZ81" s="164"/>
      <c r="BA81" s="164"/>
      <c r="BB81" s="159"/>
      <c r="BC81" s="184">
        <f t="shared" si="225"/>
        <v>0</v>
      </c>
      <c r="BD81" s="164"/>
      <c r="BE81" s="164"/>
      <c r="BF81" s="164"/>
      <c r="BG81" s="184">
        <f t="shared" si="226"/>
        <v>0</v>
      </c>
      <c r="BH81" s="164"/>
      <c r="BI81" s="164"/>
      <c r="BJ81" s="164"/>
      <c r="BK81" s="164"/>
      <c r="BL81" s="158"/>
      <c r="BM81" s="158"/>
      <c r="BN81" s="158"/>
      <c r="BO81" s="26">
        <f t="shared" si="230"/>
        <v>6</v>
      </c>
    </row>
    <row r="82" ht="15.75" customHeight="1" outlineLevel="1">
      <c r="A82" s="11"/>
      <c r="B82" s="160" t="s">
        <v>239</v>
      </c>
      <c r="C82" s="132"/>
      <c r="D82" s="157"/>
      <c r="E82" s="170"/>
      <c r="F82" s="184">
        <f t="shared" si="213"/>
        <v>0</v>
      </c>
      <c r="G82" s="164"/>
      <c r="H82" s="164"/>
      <c r="I82" s="164"/>
      <c r="J82" s="184">
        <f t="shared" si="214"/>
        <v>0</v>
      </c>
      <c r="K82" s="164"/>
      <c r="L82" s="164"/>
      <c r="M82" s="164"/>
      <c r="N82" s="184">
        <f t="shared" si="215"/>
        <v>0</v>
      </c>
      <c r="O82" s="164"/>
      <c r="P82" s="164"/>
      <c r="Q82" s="164"/>
      <c r="R82" s="184">
        <f t="shared" si="216"/>
        <v>0</v>
      </c>
      <c r="S82" s="164"/>
      <c r="T82" s="164"/>
      <c r="U82" s="164"/>
      <c r="V82" s="184">
        <f t="shared" si="217"/>
        <v>0</v>
      </c>
      <c r="W82" s="164"/>
      <c r="X82" s="164"/>
      <c r="Y82" s="164"/>
      <c r="Z82" s="184">
        <f t="shared" si="218"/>
        <v>0</v>
      </c>
      <c r="AA82" s="164"/>
      <c r="AB82" s="164"/>
      <c r="AC82" s="164"/>
      <c r="AD82" s="184">
        <f t="shared" si="219"/>
        <v>0</v>
      </c>
      <c r="AE82" s="164"/>
      <c r="AF82" s="164"/>
      <c r="AG82" s="164"/>
      <c r="AH82" s="184">
        <f t="shared" si="220"/>
        <v>0</v>
      </c>
      <c r="AI82" s="164"/>
      <c r="AJ82" s="164"/>
      <c r="AK82" s="164"/>
      <c r="AL82" s="184">
        <f t="shared" si="221"/>
        <v>0</v>
      </c>
      <c r="AM82" s="164"/>
      <c r="AN82" s="164"/>
      <c r="AO82" s="164"/>
      <c r="AP82" s="184">
        <f t="shared" si="222"/>
        <v>0</v>
      </c>
      <c r="AQ82" s="164"/>
      <c r="AR82" s="164"/>
      <c r="AS82" s="164"/>
      <c r="AT82" s="184">
        <f t="shared" si="223"/>
        <v>0</v>
      </c>
      <c r="AU82" s="164"/>
      <c r="AV82" s="164"/>
      <c r="AW82" s="164"/>
      <c r="AX82" s="184">
        <f t="shared" si="224"/>
        <v>0</v>
      </c>
      <c r="AY82" s="164"/>
      <c r="AZ82" s="164"/>
      <c r="BA82" s="164"/>
      <c r="BB82" s="159"/>
      <c r="BC82" s="184">
        <f t="shared" si="225"/>
        <v>0</v>
      </c>
      <c r="BD82" s="164"/>
      <c r="BE82" s="164"/>
      <c r="BF82" s="164"/>
      <c r="BG82" s="184">
        <f t="shared" si="226"/>
        <v>0</v>
      </c>
      <c r="BH82" s="164"/>
      <c r="BI82" s="164"/>
      <c r="BJ82" s="164"/>
      <c r="BK82" s="164"/>
      <c r="BL82" s="158"/>
      <c r="BM82" s="158"/>
      <c r="BN82" s="158"/>
      <c r="BO82" s="26">
        <f t="shared" si="230"/>
        <v>6</v>
      </c>
    </row>
    <row r="83" ht="15.75" customHeight="1" outlineLevel="1">
      <c r="A83" s="11"/>
      <c r="B83" s="160" t="s">
        <v>240</v>
      </c>
      <c r="C83" s="132"/>
      <c r="D83" s="157"/>
      <c r="E83" s="170"/>
      <c r="F83" s="184">
        <f t="shared" si="213"/>
        <v>0</v>
      </c>
      <c r="G83" s="164"/>
      <c r="H83" s="164"/>
      <c r="I83" s="164"/>
      <c r="J83" s="184">
        <f t="shared" si="214"/>
        <v>0</v>
      </c>
      <c r="K83" s="164"/>
      <c r="L83" s="164"/>
      <c r="M83" s="164"/>
      <c r="N83" s="184">
        <f t="shared" si="215"/>
        <v>0</v>
      </c>
      <c r="O83" s="164"/>
      <c r="P83" s="164"/>
      <c r="Q83" s="164"/>
      <c r="R83" s="184">
        <f t="shared" si="216"/>
        <v>0</v>
      </c>
      <c r="S83" s="164"/>
      <c r="T83" s="164"/>
      <c r="U83" s="164"/>
      <c r="V83" s="184">
        <f t="shared" si="217"/>
        <v>0</v>
      </c>
      <c r="W83" s="164"/>
      <c r="X83" s="164"/>
      <c r="Y83" s="164"/>
      <c r="Z83" s="184">
        <f t="shared" si="218"/>
        <v>0</v>
      </c>
      <c r="AA83" s="164"/>
      <c r="AB83" s="164"/>
      <c r="AC83" s="164"/>
      <c r="AD83" s="184">
        <f t="shared" si="219"/>
        <v>0</v>
      </c>
      <c r="AE83" s="164"/>
      <c r="AF83" s="164"/>
      <c r="AG83" s="164"/>
      <c r="AH83" s="184">
        <f t="shared" si="220"/>
        <v>0</v>
      </c>
      <c r="AI83" s="164"/>
      <c r="AJ83" s="164"/>
      <c r="AK83" s="164"/>
      <c r="AL83" s="184">
        <f t="shared" si="221"/>
        <v>0</v>
      </c>
      <c r="AM83" s="164"/>
      <c r="AN83" s="164"/>
      <c r="AO83" s="164"/>
      <c r="AP83" s="184">
        <f t="shared" si="222"/>
        <v>0</v>
      </c>
      <c r="AQ83" s="164"/>
      <c r="AR83" s="164"/>
      <c r="AS83" s="164"/>
      <c r="AT83" s="184">
        <f t="shared" si="223"/>
        <v>0</v>
      </c>
      <c r="AU83" s="164"/>
      <c r="AV83" s="164"/>
      <c r="AW83" s="164"/>
      <c r="AX83" s="184">
        <f t="shared" si="224"/>
        <v>0</v>
      </c>
      <c r="AY83" s="164"/>
      <c r="AZ83" s="164"/>
      <c r="BA83" s="164"/>
      <c r="BB83" s="159"/>
      <c r="BC83" s="184">
        <f t="shared" si="225"/>
        <v>0</v>
      </c>
      <c r="BD83" s="164"/>
      <c r="BE83" s="164"/>
      <c r="BF83" s="164"/>
      <c r="BG83" s="184">
        <f t="shared" si="226"/>
        <v>0</v>
      </c>
      <c r="BH83" s="164"/>
      <c r="BI83" s="164"/>
      <c r="BJ83" s="164"/>
      <c r="BK83" s="164"/>
      <c r="BL83" s="158"/>
      <c r="BM83" s="158"/>
      <c r="BN83" s="158"/>
      <c r="BO83" s="26">
        <f t="shared" si="230"/>
        <v>6</v>
      </c>
    </row>
    <row r="84" ht="15.75" customHeight="1">
      <c r="B84" s="135"/>
      <c r="C84" s="136"/>
      <c r="D84" s="136"/>
      <c r="E84" s="188"/>
    </row>
    <row r="85" ht="15.75" customHeight="1">
      <c r="B85" s="135"/>
      <c r="C85" s="136"/>
      <c r="D85" s="136"/>
      <c r="E85" s="188"/>
    </row>
    <row r="86" ht="15.75" customHeight="1">
      <c r="E86" s="189"/>
    </row>
    <row r="87" ht="15.75" customHeight="1">
      <c r="E87" s="189"/>
    </row>
    <row r="88" ht="15.75" customHeight="1">
      <c r="E88" s="189"/>
    </row>
    <row r="89" ht="15.75" customHeight="1">
      <c r="E89" s="189"/>
    </row>
    <row r="90" ht="15.75" customHeight="1">
      <c r="E90" s="189"/>
    </row>
    <row r="91" ht="15.75" customHeight="1">
      <c r="E91" s="189"/>
    </row>
    <row r="92" ht="15.75" customHeight="1">
      <c r="E92" s="189"/>
    </row>
    <row r="93" ht="15.75" customHeight="1">
      <c r="E93" s="189"/>
    </row>
    <row r="94" ht="15.75" customHeight="1">
      <c r="E94" s="189"/>
    </row>
    <row r="95" ht="15.75" customHeight="1">
      <c r="B95" s="135"/>
      <c r="C95" s="136"/>
      <c r="D95" s="136"/>
      <c r="E95" s="188"/>
    </row>
    <row r="96" ht="15.75" customHeight="1">
      <c r="B96" s="135"/>
      <c r="C96" s="136"/>
      <c r="D96" s="136"/>
      <c r="E96" s="188"/>
    </row>
    <row r="97" ht="15.75" customHeight="1">
      <c r="B97" s="135"/>
      <c r="C97" s="136"/>
      <c r="D97" s="136"/>
      <c r="E97" s="188"/>
    </row>
    <row r="98" ht="15.75" customHeight="1">
      <c r="B98" s="135"/>
      <c r="C98" s="136"/>
      <c r="D98" s="136"/>
      <c r="E98" s="188"/>
    </row>
    <row r="99" ht="15.75" customHeight="1">
      <c r="B99" s="135"/>
      <c r="C99" s="136"/>
      <c r="D99" s="136"/>
      <c r="E99" s="188"/>
    </row>
    <row r="100" ht="15.75" customHeight="1">
      <c r="B100" s="135"/>
      <c r="C100" s="136"/>
      <c r="D100" s="136"/>
      <c r="E100" s="188"/>
    </row>
    <row r="101" ht="15.75" customHeight="1">
      <c r="B101" s="135"/>
      <c r="C101" s="136"/>
      <c r="D101" s="136"/>
      <c r="E101" s="188"/>
    </row>
    <row r="102" ht="15.75" customHeight="1">
      <c r="B102" s="135"/>
      <c r="C102" s="136"/>
      <c r="D102" s="136"/>
      <c r="E102" s="188"/>
    </row>
    <row r="103" ht="15.75" customHeight="1">
      <c r="B103" s="135"/>
      <c r="C103" s="136"/>
      <c r="D103" s="136"/>
      <c r="E103" s="188"/>
    </row>
    <row r="104" ht="15.75" customHeight="1">
      <c r="B104" s="135"/>
      <c r="C104" s="136"/>
      <c r="D104" s="136"/>
      <c r="E104" s="188"/>
    </row>
    <row r="105" ht="15.75" customHeight="1">
      <c r="B105" s="135"/>
      <c r="C105" s="136"/>
      <c r="D105" s="136"/>
      <c r="E105" s="188"/>
    </row>
    <row r="106" ht="15.75" customHeight="1">
      <c r="B106" s="135"/>
      <c r="C106" s="136"/>
      <c r="D106" s="136"/>
      <c r="E106" s="188"/>
    </row>
    <row r="107" ht="15.75" customHeight="1">
      <c r="B107" s="135"/>
      <c r="C107" s="136"/>
      <c r="D107" s="136"/>
      <c r="E107" s="188"/>
    </row>
    <row r="108" ht="15.75" customHeight="1">
      <c r="B108" s="135"/>
      <c r="C108" s="136"/>
      <c r="D108" s="136"/>
      <c r="E108" s="188"/>
    </row>
    <row r="109" ht="15.75" customHeight="1">
      <c r="B109" s="135"/>
      <c r="C109" s="136"/>
      <c r="D109" s="136"/>
      <c r="E109" s="188"/>
    </row>
    <row r="110" ht="15.75" customHeight="1">
      <c r="B110" s="135"/>
      <c r="C110" s="136"/>
      <c r="D110" s="136"/>
      <c r="E110" s="188"/>
    </row>
    <row r="111" ht="15.75" customHeight="1">
      <c r="B111" s="135"/>
      <c r="C111" s="136"/>
      <c r="D111" s="136"/>
      <c r="E111" s="188"/>
    </row>
    <row r="112" ht="15.75" customHeight="1">
      <c r="B112" s="135"/>
      <c r="C112" s="136"/>
      <c r="D112" s="136"/>
      <c r="E112" s="188"/>
    </row>
    <row r="113" ht="15.75" customHeight="1">
      <c r="B113" s="135"/>
      <c r="C113" s="136"/>
      <c r="D113" s="136"/>
      <c r="E113" s="188"/>
    </row>
    <row r="114" ht="15.75" customHeight="1">
      <c r="B114" s="135"/>
      <c r="C114" s="136"/>
      <c r="D114" s="136"/>
      <c r="E114" s="188"/>
    </row>
    <row r="115" ht="15.75" customHeight="1">
      <c r="B115" s="135"/>
      <c r="C115" s="136"/>
      <c r="D115" s="136"/>
      <c r="E115" s="188"/>
    </row>
    <row r="116" ht="15.75" customHeight="1">
      <c r="B116" s="135"/>
      <c r="C116" s="136"/>
      <c r="D116" s="136"/>
      <c r="E116" s="188"/>
    </row>
    <row r="117" ht="15.75" customHeight="1">
      <c r="B117" s="135"/>
      <c r="C117" s="136"/>
      <c r="D117" s="136"/>
      <c r="E117" s="188"/>
    </row>
    <row r="118" ht="15.75" customHeight="1">
      <c r="B118" s="135"/>
      <c r="C118" s="136"/>
      <c r="D118" s="136"/>
      <c r="E118" s="188"/>
    </row>
    <row r="119" ht="15.75" customHeight="1">
      <c r="B119" s="135"/>
      <c r="C119" s="136"/>
      <c r="D119" s="136"/>
      <c r="E119" s="188"/>
    </row>
    <row r="120" ht="15.75" customHeight="1">
      <c r="B120" s="135"/>
      <c r="C120" s="136"/>
      <c r="D120" s="136"/>
      <c r="E120" s="188"/>
    </row>
    <row r="121" ht="15.75" customHeight="1">
      <c r="B121" s="135"/>
      <c r="C121" s="136"/>
      <c r="D121" s="136"/>
      <c r="E121" s="188"/>
    </row>
    <row r="122" ht="15.75" customHeight="1">
      <c r="B122" s="135"/>
      <c r="C122" s="136"/>
      <c r="D122" s="136"/>
      <c r="E122" s="188"/>
    </row>
    <row r="123" ht="15.75" customHeight="1">
      <c r="B123" s="135"/>
      <c r="C123" s="136"/>
      <c r="D123" s="136"/>
      <c r="E123" s="188"/>
    </row>
    <row r="124" ht="15.75" customHeight="1">
      <c r="B124" s="135"/>
      <c r="C124" s="136"/>
      <c r="D124" s="136"/>
      <c r="E124" s="136"/>
    </row>
    <row r="125" ht="15.75" customHeight="1">
      <c r="B125" s="135"/>
      <c r="C125" s="136"/>
      <c r="D125" s="136"/>
      <c r="E125" s="136"/>
    </row>
    <row r="126" ht="15.75" customHeight="1">
      <c r="B126" s="135"/>
      <c r="C126" s="136"/>
      <c r="D126" s="136"/>
      <c r="E126" s="136"/>
    </row>
    <row r="127" ht="15.75" customHeight="1">
      <c r="B127" s="135"/>
      <c r="C127" s="136"/>
      <c r="D127" s="136"/>
      <c r="E127" s="136"/>
    </row>
    <row r="128" ht="15.75" customHeight="1">
      <c r="B128" s="135"/>
      <c r="C128" s="136"/>
      <c r="D128" s="136"/>
      <c r="E128" s="136"/>
    </row>
    <row r="129" ht="15.75" customHeight="1">
      <c r="B129" s="135"/>
      <c r="C129" s="136"/>
      <c r="D129" s="136"/>
      <c r="E129" s="136"/>
    </row>
    <row r="130" ht="15.75" customHeight="1">
      <c r="B130" s="135"/>
      <c r="C130" s="136"/>
      <c r="D130" s="136"/>
      <c r="E130" s="136"/>
    </row>
    <row r="131" ht="15.75" customHeight="1">
      <c r="B131" s="135"/>
      <c r="C131" s="136"/>
      <c r="D131" s="136"/>
      <c r="E131" s="136"/>
    </row>
    <row r="132" ht="15.75" customHeight="1">
      <c r="B132" s="135"/>
      <c r="C132" s="136"/>
      <c r="D132" s="136"/>
      <c r="E132" s="136"/>
    </row>
    <row r="133" ht="15.75" customHeight="1">
      <c r="B133" s="135"/>
      <c r="C133" s="136"/>
      <c r="D133" s="136"/>
      <c r="E133" s="136"/>
    </row>
    <row r="134" ht="15.75" customHeight="1">
      <c r="B134" s="135"/>
      <c r="C134" s="136"/>
      <c r="D134" s="136"/>
      <c r="E134" s="136"/>
    </row>
    <row r="135" ht="15.75" customHeight="1">
      <c r="B135" s="135"/>
      <c r="C135" s="136"/>
      <c r="D135" s="136"/>
      <c r="E135" s="136"/>
    </row>
    <row r="136" ht="15.75" customHeight="1">
      <c r="B136" s="135"/>
      <c r="C136" s="136"/>
      <c r="D136" s="136"/>
      <c r="E136" s="136"/>
    </row>
    <row r="137" ht="15.75" customHeight="1">
      <c r="B137" s="135"/>
      <c r="C137" s="136"/>
      <c r="D137" s="136"/>
      <c r="E137" s="136"/>
    </row>
    <row r="138" ht="15.75" customHeight="1">
      <c r="B138" s="135"/>
      <c r="C138" s="136"/>
      <c r="D138" s="136"/>
      <c r="E138" s="136"/>
    </row>
    <row r="139" ht="15.75" customHeight="1">
      <c r="B139" s="135"/>
      <c r="C139" s="136"/>
      <c r="D139" s="136"/>
      <c r="E139" s="136"/>
    </row>
    <row r="140" ht="15.75" customHeight="1">
      <c r="B140" s="135"/>
      <c r="C140" s="136"/>
      <c r="D140" s="136"/>
      <c r="E140" s="136"/>
    </row>
    <row r="141" ht="15.75" customHeight="1">
      <c r="B141" s="135"/>
      <c r="C141" s="136"/>
      <c r="D141" s="136"/>
      <c r="E141" s="136"/>
    </row>
    <row r="142" ht="15.75" customHeight="1">
      <c r="B142" s="135"/>
      <c r="C142" s="136"/>
      <c r="D142" s="136"/>
      <c r="E142" s="136"/>
    </row>
    <row r="143" ht="15.75" customHeight="1">
      <c r="B143" s="135"/>
      <c r="C143" s="136"/>
      <c r="D143" s="136"/>
      <c r="E143" s="136"/>
    </row>
    <row r="144" ht="15.75" customHeight="1">
      <c r="B144" s="135"/>
      <c r="C144" s="136"/>
      <c r="D144" s="136"/>
      <c r="E144" s="136"/>
    </row>
    <row r="145" ht="15.75" customHeight="1">
      <c r="B145" s="135"/>
      <c r="C145" s="136"/>
      <c r="D145" s="136"/>
      <c r="E145" s="136"/>
    </row>
    <row r="146" ht="15.75" customHeight="1">
      <c r="B146" s="135"/>
      <c r="C146" s="136"/>
      <c r="D146" s="136"/>
      <c r="E146" s="136"/>
    </row>
    <row r="147" ht="15.75" customHeight="1">
      <c r="B147" s="135"/>
      <c r="C147" s="136"/>
      <c r="D147" s="136"/>
      <c r="E147" s="136"/>
    </row>
    <row r="148" ht="15.75" customHeight="1">
      <c r="B148" s="135"/>
      <c r="C148" s="136"/>
      <c r="D148" s="136"/>
      <c r="E148" s="136"/>
    </row>
    <row r="149" ht="15.75" customHeight="1">
      <c r="B149" s="135"/>
      <c r="C149" s="136"/>
      <c r="D149" s="136"/>
      <c r="E149" s="136"/>
    </row>
    <row r="150" ht="15.75" customHeight="1">
      <c r="B150" s="135"/>
      <c r="C150" s="136"/>
      <c r="D150" s="136"/>
      <c r="E150" s="136"/>
    </row>
    <row r="151" ht="15.75" customHeight="1">
      <c r="B151" s="135"/>
      <c r="C151" s="136"/>
      <c r="D151" s="136"/>
      <c r="E151" s="136"/>
    </row>
    <row r="152" ht="15.75" customHeight="1">
      <c r="B152" s="135"/>
      <c r="C152" s="136"/>
      <c r="D152" s="136"/>
      <c r="E152" s="136"/>
    </row>
    <row r="153" ht="15.75" customHeight="1">
      <c r="B153" s="135"/>
      <c r="C153" s="136"/>
      <c r="D153" s="136"/>
      <c r="E153" s="136"/>
    </row>
    <row r="154" ht="15.75" customHeight="1">
      <c r="B154" s="135"/>
      <c r="C154" s="136"/>
      <c r="D154" s="136"/>
      <c r="E154" s="136"/>
    </row>
    <row r="155" ht="15.75" customHeight="1">
      <c r="B155" s="135"/>
      <c r="C155" s="136"/>
      <c r="D155" s="136"/>
      <c r="E155" s="136"/>
    </row>
    <row r="156" ht="15.75" customHeight="1">
      <c r="B156" s="135"/>
      <c r="C156" s="136"/>
      <c r="D156" s="136"/>
      <c r="E156" s="136"/>
    </row>
    <row r="157" ht="15.75" customHeight="1">
      <c r="B157" s="135"/>
      <c r="C157" s="136"/>
      <c r="D157" s="136"/>
      <c r="E157" s="136"/>
    </row>
    <row r="158" ht="15.75" customHeight="1">
      <c r="B158" s="135"/>
      <c r="C158" s="136"/>
      <c r="D158" s="136"/>
      <c r="E158" s="136"/>
    </row>
    <row r="159" ht="15.75" customHeight="1">
      <c r="B159" s="135"/>
      <c r="C159" s="136"/>
      <c r="D159" s="136"/>
      <c r="E159" s="136"/>
    </row>
    <row r="160" ht="15.75" customHeight="1">
      <c r="B160" s="135"/>
      <c r="C160" s="136"/>
      <c r="D160" s="136"/>
      <c r="E160" s="136"/>
    </row>
    <row r="161" ht="15.75" customHeight="1">
      <c r="B161" s="135"/>
      <c r="C161" s="136"/>
      <c r="D161" s="136"/>
      <c r="E161" s="136"/>
    </row>
    <row r="162" ht="15.75" customHeight="1">
      <c r="B162" s="135"/>
      <c r="C162" s="136"/>
      <c r="D162" s="136"/>
      <c r="E162" s="136"/>
    </row>
    <row r="163" ht="15.75" customHeight="1">
      <c r="B163" s="135"/>
      <c r="C163" s="136"/>
      <c r="D163" s="136"/>
      <c r="E163" s="136"/>
    </row>
    <row r="164" ht="15.75" customHeight="1">
      <c r="B164" s="135"/>
      <c r="C164" s="136"/>
      <c r="D164" s="136"/>
      <c r="E164" s="136"/>
    </row>
    <row r="165" ht="15.75" customHeight="1">
      <c r="B165" s="135"/>
      <c r="C165" s="136"/>
      <c r="D165" s="136"/>
      <c r="E165" s="136"/>
    </row>
    <row r="166" ht="15.75" customHeight="1">
      <c r="B166" s="135"/>
      <c r="C166" s="136"/>
      <c r="D166" s="136"/>
      <c r="E166" s="136"/>
    </row>
    <row r="167" ht="15.75" customHeight="1">
      <c r="B167" s="135"/>
      <c r="C167" s="136"/>
      <c r="D167" s="136"/>
      <c r="E167" s="136"/>
    </row>
    <row r="168" ht="15.75" customHeight="1">
      <c r="B168" s="135"/>
      <c r="C168" s="136"/>
      <c r="D168" s="136"/>
      <c r="E168" s="136"/>
    </row>
    <row r="169" ht="15.75" customHeight="1">
      <c r="B169" s="135"/>
      <c r="C169" s="136"/>
      <c r="D169" s="136"/>
      <c r="E169" s="136"/>
    </row>
    <row r="170" ht="15.75" customHeight="1">
      <c r="B170" s="135"/>
      <c r="C170" s="136"/>
      <c r="D170" s="136"/>
      <c r="E170" s="136"/>
    </row>
    <row r="171" ht="15.75" customHeight="1">
      <c r="B171" s="135"/>
      <c r="C171" s="136"/>
      <c r="D171" s="136"/>
      <c r="E171" s="136"/>
    </row>
    <row r="172" ht="15.75" customHeight="1">
      <c r="B172" s="135"/>
      <c r="C172" s="136"/>
      <c r="D172" s="136"/>
      <c r="E172" s="136"/>
    </row>
    <row r="173" ht="15.75" customHeight="1">
      <c r="B173" s="135"/>
      <c r="C173" s="136"/>
      <c r="D173" s="136"/>
      <c r="E173" s="136"/>
    </row>
    <row r="174" ht="15.75" customHeight="1">
      <c r="B174" s="135"/>
      <c r="C174" s="136"/>
      <c r="D174" s="136"/>
      <c r="E174" s="136"/>
    </row>
    <row r="175" ht="15.75" customHeight="1">
      <c r="B175" s="135"/>
      <c r="C175" s="136"/>
      <c r="D175" s="136"/>
      <c r="E175" s="136"/>
    </row>
    <row r="176" ht="15.75" customHeight="1">
      <c r="B176" s="135"/>
      <c r="C176" s="136"/>
      <c r="D176" s="136"/>
      <c r="E176" s="136"/>
    </row>
    <row r="177" ht="15.75" customHeight="1">
      <c r="B177" s="135"/>
      <c r="C177" s="136"/>
      <c r="D177" s="136"/>
      <c r="E177" s="136"/>
    </row>
    <row r="178" ht="15.75" customHeight="1">
      <c r="B178" s="135"/>
      <c r="C178" s="136"/>
      <c r="D178" s="136"/>
      <c r="E178" s="136"/>
    </row>
    <row r="179" ht="15.75" customHeight="1">
      <c r="B179" s="135"/>
      <c r="C179" s="136"/>
      <c r="D179" s="136"/>
      <c r="E179" s="136"/>
    </row>
    <row r="180" ht="15.75" customHeight="1">
      <c r="B180" s="135"/>
      <c r="C180" s="136"/>
      <c r="D180" s="136"/>
      <c r="E180" s="136"/>
    </row>
    <row r="181" ht="15.75" customHeight="1">
      <c r="B181" s="135"/>
      <c r="C181" s="136"/>
      <c r="D181" s="136"/>
      <c r="E181" s="136"/>
    </row>
    <row r="182" ht="15.75" customHeight="1">
      <c r="B182" s="135"/>
      <c r="C182" s="136"/>
      <c r="D182" s="136"/>
      <c r="E182" s="136"/>
    </row>
    <row r="183" ht="15.75" customHeight="1">
      <c r="B183" s="135"/>
      <c r="C183" s="136"/>
      <c r="D183" s="136"/>
      <c r="E183" s="136"/>
    </row>
    <row r="184" ht="15.75" customHeight="1">
      <c r="B184" s="135"/>
      <c r="C184" s="136"/>
      <c r="D184" s="136"/>
      <c r="E184" s="136"/>
    </row>
    <row r="185" ht="15.75" customHeight="1">
      <c r="B185" s="135"/>
      <c r="C185" s="136"/>
      <c r="D185" s="136"/>
      <c r="E185" s="136"/>
    </row>
    <row r="186" ht="15.75" customHeight="1">
      <c r="B186" s="135"/>
      <c r="C186" s="136"/>
      <c r="D186" s="136"/>
      <c r="E186" s="136"/>
    </row>
    <row r="187" ht="15.75" customHeight="1">
      <c r="B187" s="135"/>
      <c r="C187" s="136"/>
      <c r="D187" s="136"/>
      <c r="E187" s="136"/>
    </row>
    <row r="188" ht="15.75" customHeight="1">
      <c r="B188" s="135"/>
      <c r="C188" s="136"/>
      <c r="D188" s="136"/>
      <c r="E188" s="136"/>
    </row>
    <row r="189" ht="15.75" customHeight="1">
      <c r="B189" s="135"/>
      <c r="C189" s="136"/>
      <c r="D189" s="136"/>
      <c r="E189" s="136"/>
    </row>
    <row r="190" ht="15.75" customHeight="1">
      <c r="B190" s="135"/>
      <c r="C190" s="136"/>
      <c r="D190" s="136"/>
      <c r="E190" s="136"/>
    </row>
    <row r="191" ht="15.75" customHeight="1">
      <c r="B191" s="135"/>
      <c r="C191" s="136"/>
      <c r="D191" s="136"/>
      <c r="E191" s="136"/>
    </row>
    <row r="192" ht="15.75" customHeight="1">
      <c r="B192" s="135"/>
      <c r="C192" s="136"/>
      <c r="D192" s="136"/>
      <c r="E192" s="136"/>
    </row>
    <row r="193" ht="15.75" customHeight="1">
      <c r="B193" s="135"/>
      <c r="C193" s="136"/>
      <c r="D193" s="136"/>
      <c r="E193" s="136"/>
    </row>
    <row r="194" ht="15.75" customHeight="1">
      <c r="B194" s="135"/>
      <c r="C194" s="136"/>
      <c r="D194" s="136"/>
      <c r="E194" s="136"/>
    </row>
    <row r="195" ht="15.75" customHeight="1">
      <c r="B195" s="135"/>
      <c r="C195" s="136"/>
      <c r="D195" s="136"/>
      <c r="E195" s="136"/>
    </row>
    <row r="196" ht="15.75" customHeight="1">
      <c r="B196" s="135"/>
      <c r="C196" s="136"/>
      <c r="D196" s="136"/>
      <c r="E196" s="136"/>
    </row>
    <row r="197" ht="15.75" customHeight="1">
      <c r="B197" s="135"/>
      <c r="C197" s="136"/>
      <c r="D197" s="136"/>
      <c r="E197" s="136"/>
    </row>
    <row r="198" ht="15.75" customHeight="1">
      <c r="B198" s="135"/>
      <c r="C198" s="136"/>
      <c r="D198" s="136"/>
      <c r="E198" s="136"/>
    </row>
    <row r="199" ht="15.75" customHeight="1">
      <c r="B199" s="135"/>
      <c r="C199" s="136"/>
      <c r="D199" s="136"/>
      <c r="E199" s="136"/>
    </row>
    <row r="200" ht="15.75" customHeight="1">
      <c r="B200" s="135"/>
      <c r="C200" s="136"/>
      <c r="D200" s="136"/>
      <c r="E200" s="136"/>
    </row>
    <row r="201" ht="15.75" customHeight="1">
      <c r="B201" s="135"/>
      <c r="C201" s="136"/>
      <c r="D201" s="136"/>
      <c r="E201" s="136"/>
    </row>
    <row r="202" ht="15.75" customHeight="1">
      <c r="B202" s="135"/>
      <c r="C202" s="136"/>
      <c r="D202" s="136"/>
      <c r="E202" s="136"/>
    </row>
    <row r="203" ht="15.75" customHeight="1">
      <c r="B203" s="135"/>
      <c r="C203" s="136"/>
      <c r="D203" s="136"/>
      <c r="E203" s="136"/>
    </row>
    <row r="204" ht="15.75" customHeight="1">
      <c r="B204" s="135"/>
      <c r="C204" s="136"/>
      <c r="D204" s="136"/>
      <c r="E204" s="136"/>
    </row>
    <row r="205" ht="15.75" customHeight="1">
      <c r="B205" s="135"/>
      <c r="C205" s="136"/>
      <c r="D205" s="136"/>
      <c r="E205" s="136"/>
    </row>
    <row r="206" ht="15.75" customHeight="1">
      <c r="B206" s="135"/>
      <c r="C206" s="136"/>
      <c r="D206" s="136"/>
      <c r="E206" s="136"/>
    </row>
    <row r="207" ht="15.75" customHeight="1">
      <c r="B207" s="135"/>
      <c r="C207" s="136"/>
      <c r="D207" s="136"/>
      <c r="E207" s="136"/>
    </row>
    <row r="208" ht="15.75" customHeight="1">
      <c r="B208" s="135"/>
      <c r="C208" s="136"/>
      <c r="D208" s="136"/>
      <c r="E208" s="136"/>
    </row>
    <row r="209" ht="15.75" customHeight="1">
      <c r="B209" s="135"/>
      <c r="C209" s="136"/>
      <c r="D209" s="136"/>
      <c r="E209" s="136"/>
    </row>
    <row r="210" ht="15.75" customHeight="1">
      <c r="B210" s="135"/>
      <c r="C210" s="136"/>
      <c r="D210" s="136"/>
      <c r="E210" s="136"/>
    </row>
    <row r="211" ht="15.75" customHeight="1">
      <c r="B211" s="135"/>
      <c r="C211" s="136"/>
      <c r="D211" s="136"/>
      <c r="E211" s="136"/>
    </row>
    <row r="212" ht="15.75" customHeight="1">
      <c r="B212" s="135"/>
      <c r="C212" s="136"/>
      <c r="D212" s="136"/>
      <c r="E212" s="136"/>
    </row>
    <row r="213" ht="15.75" customHeight="1">
      <c r="B213" s="135"/>
      <c r="C213" s="136"/>
      <c r="D213" s="136"/>
      <c r="E213" s="136"/>
    </row>
    <row r="214" ht="15.75" customHeight="1">
      <c r="B214" s="135"/>
      <c r="C214" s="136"/>
      <c r="D214" s="136"/>
      <c r="E214" s="136"/>
    </row>
    <row r="215" ht="15.75" customHeight="1">
      <c r="B215" s="135"/>
      <c r="C215" s="136"/>
      <c r="D215" s="136"/>
      <c r="E215" s="136"/>
    </row>
    <row r="216" ht="15.75" customHeight="1">
      <c r="B216" s="135"/>
      <c r="C216" s="136"/>
      <c r="D216" s="136"/>
      <c r="E216" s="136"/>
    </row>
    <row r="217" ht="15.75" customHeight="1">
      <c r="B217" s="135"/>
      <c r="C217" s="136"/>
      <c r="D217" s="136"/>
      <c r="E217" s="136"/>
    </row>
    <row r="218" ht="15.75" customHeight="1">
      <c r="B218" s="135"/>
      <c r="C218" s="136"/>
      <c r="D218" s="136"/>
      <c r="E218" s="136"/>
    </row>
    <row r="219" ht="15.75" customHeight="1">
      <c r="B219" s="135"/>
      <c r="C219" s="136"/>
      <c r="D219" s="136"/>
      <c r="E219" s="136"/>
    </row>
    <row r="220" ht="15.75" customHeight="1">
      <c r="B220" s="135"/>
      <c r="C220" s="136"/>
      <c r="D220" s="136"/>
      <c r="E220" s="136"/>
    </row>
    <row r="221" ht="15.75" customHeight="1">
      <c r="B221" s="135"/>
      <c r="C221" s="136"/>
      <c r="D221" s="136"/>
      <c r="E221" s="136"/>
    </row>
    <row r="222" ht="15.75" customHeight="1">
      <c r="B222" s="135"/>
      <c r="C222" s="136"/>
      <c r="D222" s="136"/>
      <c r="E222" s="136"/>
    </row>
    <row r="223" ht="15.75" customHeight="1">
      <c r="B223" s="135"/>
      <c r="C223" s="136"/>
      <c r="D223" s="136"/>
      <c r="E223" s="136"/>
    </row>
    <row r="224" ht="15.75" customHeight="1">
      <c r="B224" s="135"/>
      <c r="C224" s="136"/>
      <c r="D224" s="136"/>
      <c r="E224" s="136"/>
    </row>
    <row r="225" ht="15.75" customHeight="1">
      <c r="B225" s="135"/>
      <c r="C225" s="136"/>
      <c r="D225" s="136"/>
      <c r="E225" s="136"/>
    </row>
    <row r="226" ht="15.75" customHeight="1">
      <c r="B226" s="135"/>
      <c r="C226" s="136"/>
      <c r="D226" s="136"/>
      <c r="E226" s="136"/>
    </row>
    <row r="227" ht="15.75" customHeight="1">
      <c r="B227" s="135"/>
      <c r="C227" s="136"/>
      <c r="D227" s="136"/>
      <c r="E227" s="136"/>
    </row>
    <row r="228" ht="15.75" customHeight="1">
      <c r="B228" s="135"/>
      <c r="C228" s="136"/>
      <c r="D228" s="136"/>
      <c r="E228" s="136"/>
    </row>
    <row r="229" ht="15.75" customHeight="1">
      <c r="B229" s="135"/>
      <c r="C229" s="136"/>
      <c r="D229" s="136"/>
      <c r="E229" s="136"/>
    </row>
    <row r="230" ht="15.75" customHeight="1">
      <c r="B230" s="135"/>
      <c r="C230" s="136"/>
      <c r="D230" s="136"/>
      <c r="E230" s="136"/>
    </row>
    <row r="231" ht="15.75" customHeight="1">
      <c r="B231" s="135"/>
      <c r="C231" s="136"/>
      <c r="D231" s="136"/>
      <c r="E231" s="136"/>
    </row>
    <row r="232" ht="15.75" customHeight="1">
      <c r="B232" s="135"/>
      <c r="C232" s="136"/>
      <c r="D232" s="136"/>
      <c r="E232" s="136"/>
    </row>
    <row r="233" ht="15.75" customHeight="1">
      <c r="B233" s="135"/>
      <c r="C233" s="136"/>
      <c r="D233" s="136"/>
      <c r="E233" s="136"/>
    </row>
    <row r="234" ht="15.75" customHeight="1">
      <c r="B234" s="135"/>
      <c r="C234" s="136"/>
      <c r="D234" s="136"/>
      <c r="E234" s="136"/>
    </row>
    <row r="235" ht="15.75" customHeight="1">
      <c r="B235" s="135"/>
      <c r="C235" s="136"/>
      <c r="D235" s="136"/>
      <c r="E235" s="136"/>
    </row>
    <row r="236" ht="15.75" customHeight="1">
      <c r="B236" s="135"/>
      <c r="C236" s="136"/>
      <c r="D236" s="136"/>
      <c r="E236" s="136"/>
    </row>
    <row r="237" ht="15.75" customHeight="1">
      <c r="B237" s="135"/>
      <c r="C237" s="136"/>
      <c r="D237" s="136"/>
      <c r="E237" s="136"/>
    </row>
    <row r="238" ht="15.75" customHeight="1">
      <c r="B238" s="135"/>
      <c r="C238" s="136"/>
      <c r="D238" s="136"/>
      <c r="E238" s="136"/>
    </row>
    <row r="239" ht="15.75" customHeight="1">
      <c r="B239" s="135"/>
      <c r="C239" s="136"/>
      <c r="D239" s="136"/>
      <c r="E239" s="136"/>
    </row>
    <row r="240" ht="15.75" customHeight="1">
      <c r="B240" s="135"/>
      <c r="C240" s="136"/>
      <c r="D240" s="136"/>
      <c r="E240" s="136"/>
    </row>
    <row r="241" ht="15.75" customHeight="1">
      <c r="B241" s="135"/>
      <c r="C241" s="136"/>
      <c r="D241" s="136"/>
      <c r="E241" s="136"/>
    </row>
    <row r="242" ht="15.75" customHeight="1">
      <c r="B242" s="135"/>
      <c r="C242" s="136"/>
      <c r="D242" s="136"/>
      <c r="E242" s="136"/>
    </row>
    <row r="243" ht="15.75" customHeight="1">
      <c r="B243" s="135"/>
      <c r="C243" s="136"/>
      <c r="D243" s="136"/>
      <c r="E243" s="136"/>
    </row>
    <row r="244" ht="15.75" customHeight="1">
      <c r="B244" s="135"/>
      <c r="C244" s="136"/>
      <c r="D244" s="136"/>
      <c r="E244" s="136"/>
    </row>
    <row r="245" ht="15.75" customHeight="1">
      <c r="B245" s="135"/>
      <c r="C245" s="136"/>
      <c r="D245" s="136"/>
      <c r="E245" s="136"/>
    </row>
    <row r="246" ht="15.75" customHeight="1">
      <c r="B246" s="135"/>
      <c r="C246" s="136"/>
      <c r="D246" s="136"/>
      <c r="E246" s="136"/>
    </row>
    <row r="247" ht="15.75" customHeight="1">
      <c r="B247" s="135"/>
      <c r="C247" s="136"/>
      <c r="D247" s="136"/>
      <c r="E247" s="136"/>
    </row>
    <row r="248" ht="15.75" customHeight="1">
      <c r="B248" s="135"/>
      <c r="C248" s="136"/>
      <c r="D248" s="136"/>
      <c r="E248" s="136"/>
    </row>
    <row r="249" ht="15.75" customHeight="1">
      <c r="B249" s="135"/>
      <c r="C249" s="136"/>
      <c r="D249" s="136"/>
      <c r="E249" s="136"/>
    </row>
    <row r="250" ht="15.75" customHeight="1">
      <c r="B250" s="135"/>
      <c r="C250" s="136"/>
      <c r="D250" s="136"/>
      <c r="E250" s="136"/>
    </row>
    <row r="251" ht="15.75" customHeight="1">
      <c r="B251" s="135"/>
      <c r="C251" s="136"/>
      <c r="D251" s="136"/>
      <c r="E251" s="136"/>
    </row>
    <row r="252" ht="15.75" customHeight="1">
      <c r="B252" s="135"/>
      <c r="C252" s="136"/>
      <c r="D252" s="136"/>
      <c r="E252" s="136"/>
    </row>
    <row r="253" ht="15.75" customHeight="1">
      <c r="B253" s="135"/>
      <c r="C253" s="136"/>
      <c r="D253" s="136"/>
      <c r="E253" s="136"/>
    </row>
    <row r="254" ht="15.75" customHeight="1">
      <c r="B254" s="135"/>
      <c r="C254" s="136"/>
      <c r="D254" s="136"/>
      <c r="E254" s="136"/>
    </row>
    <row r="255" ht="15.75" customHeight="1">
      <c r="B255" s="135"/>
      <c r="C255" s="136"/>
      <c r="D255" s="136"/>
      <c r="E255" s="136"/>
    </row>
    <row r="256" ht="15.75" customHeight="1">
      <c r="B256" s="135"/>
      <c r="C256" s="136"/>
      <c r="D256" s="136"/>
      <c r="E256" s="136"/>
    </row>
    <row r="257" ht="15.75" customHeight="1">
      <c r="B257" s="135"/>
      <c r="C257" s="136"/>
      <c r="D257" s="136"/>
      <c r="E257" s="136"/>
    </row>
    <row r="258" ht="15.75" customHeight="1">
      <c r="B258" s="135"/>
      <c r="C258" s="136"/>
      <c r="D258" s="136"/>
      <c r="E258" s="136"/>
    </row>
    <row r="259" ht="15.75" customHeight="1">
      <c r="B259" s="135"/>
      <c r="C259" s="136"/>
      <c r="D259" s="136"/>
      <c r="E259" s="136"/>
    </row>
    <row r="260" ht="15.75" customHeight="1">
      <c r="B260" s="135"/>
      <c r="C260" s="136"/>
      <c r="D260" s="136"/>
      <c r="E260" s="136"/>
    </row>
    <row r="261" ht="15.75" customHeight="1">
      <c r="B261" s="135"/>
      <c r="C261" s="136"/>
      <c r="D261" s="136"/>
      <c r="E261" s="136"/>
    </row>
    <row r="262" ht="15.75" customHeight="1">
      <c r="B262" s="135"/>
      <c r="C262" s="136"/>
      <c r="D262" s="136"/>
      <c r="E262" s="136"/>
    </row>
    <row r="263" ht="15.75" customHeight="1">
      <c r="B263" s="135"/>
      <c r="C263" s="136"/>
      <c r="D263" s="136"/>
      <c r="E263" s="136"/>
    </row>
    <row r="264" ht="15.75" customHeight="1">
      <c r="B264" s="135"/>
      <c r="C264" s="136"/>
      <c r="D264" s="136"/>
      <c r="E264" s="136"/>
    </row>
    <row r="265" ht="15.75" customHeight="1">
      <c r="B265" s="135"/>
      <c r="C265" s="136"/>
      <c r="D265" s="136"/>
      <c r="E265" s="136"/>
    </row>
    <row r="266" ht="15.75" customHeight="1">
      <c r="B266" s="135"/>
      <c r="C266" s="136"/>
      <c r="D266" s="136"/>
      <c r="E266" s="136"/>
    </row>
    <row r="267" ht="15.75" customHeight="1">
      <c r="B267" s="135"/>
      <c r="C267" s="136"/>
      <c r="D267" s="136"/>
      <c r="E267" s="136"/>
    </row>
    <row r="268" ht="15.75" customHeight="1">
      <c r="B268" s="135"/>
      <c r="C268" s="136"/>
      <c r="D268" s="136"/>
      <c r="E268" s="136"/>
    </row>
    <row r="269" ht="15.75" customHeight="1">
      <c r="B269" s="135"/>
      <c r="C269" s="136"/>
      <c r="D269" s="136"/>
      <c r="E269" s="136"/>
    </row>
    <row r="270" ht="15.75" customHeight="1">
      <c r="B270" s="135"/>
      <c r="C270" s="136"/>
      <c r="D270" s="136"/>
      <c r="E270" s="136"/>
    </row>
    <row r="271" ht="15.75" customHeight="1">
      <c r="B271" s="135"/>
      <c r="C271" s="136"/>
      <c r="D271" s="136"/>
      <c r="E271" s="136"/>
    </row>
    <row r="272" ht="15.75" customHeight="1">
      <c r="B272" s="135"/>
      <c r="C272" s="136"/>
      <c r="D272" s="136"/>
      <c r="E272" s="136"/>
    </row>
    <row r="273" ht="15.75" customHeight="1">
      <c r="B273" s="135"/>
      <c r="C273" s="136"/>
      <c r="D273" s="136"/>
      <c r="E273" s="136"/>
    </row>
    <row r="274" ht="15.75" customHeight="1">
      <c r="B274" s="135"/>
      <c r="C274" s="136"/>
      <c r="D274" s="136"/>
      <c r="E274" s="136"/>
    </row>
    <row r="275" ht="15.75" customHeight="1">
      <c r="B275" s="135"/>
      <c r="C275" s="136"/>
      <c r="D275" s="136"/>
      <c r="E275" s="136"/>
    </row>
    <row r="276" ht="15.75" customHeight="1">
      <c r="B276" s="135"/>
      <c r="C276" s="136"/>
      <c r="D276" s="136"/>
      <c r="E276" s="136"/>
    </row>
    <row r="277" ht="15.75" customHeight="1">
      <c r="B277" s="135"/>
      <c r="C277" s="136"/>
      <c r="D277" s="136"/>
      <c r="E277" s="136"/>
    </row>
    <row r="278" ht="15.75" customHeight="1">
      <c r="B278" s="135"/>
      <c r="C278" s="136"/>
      <c r="D278" s="136"/>
      <c r="E278" s="136"/>
    </row>
    <row r="279" ht="15.75" customHeight="1">
      <c r="B279" s="135"/>
      <c r="C279" s="136"/>
      <c r="D279" s="136"/>
      <c r="E279" s="136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C12:C19"/>
    <mergeCell ref="C20:C22"/>
    <mergeCell ref="D20:D22"/>
    <mergeCell ref="C23:C24"/>
    <mergeCell ref="D23:D24"/>
    <mergeCell ref="F2:I2"/>
    <mergeCell ref="J2:M2"/>
    <mergeCell ref="C5:C8"/>
    <mergeCell ref="D5:D8"/>
    <mergeCell ref="C10:C11"/>
    <mergeCell ref="D10:D11"/>
    <mergeCell ref="D12:D19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C2:BF2"/>
    <mergeCell ref="BG2:BJ2"/>
    <mergeCell ref="A1:A3"/>
    <mergeCell ref="B1:B2"/>
    <mergeCell ref="C1:C3"/>
    <mergeCell ref="D1:D3"/>
    <mergeCell ref="E1:E3"/>
    <mergeCell ref="BO1:BO3"/>
    <mergeCell ref="BP1:BP3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showRuler="1" zoomScale="100" workbookViewId="0">
      <pane xSplit="7" ySplit="3" topLeftCell="H4" activePane="bottomRight" state="frozen"/>
      <selection activeCell="H4" activeCellId="0" sqref="H4"/>
    </sheetView>
  </sheetViews>
  <sheetFormatPr defaultColWidth="12.630000000000001" defaultRowHeight="15" customHeight="1" outlineLevelCol="1"/>
  <cols>
    <col customWidth="1" min="1" max="1" width="9.5"/>
    <col customWidth="1" min="2" max="2" width="6.75"/>
    <col customWidth="1" min="3" max="3" width="11.130000000000001"/>
    <col customWidth="1" min="4" max="4" width="16.5"/>
    <col customWidth="1" min="5" max="5" outlineLevel="1" width="10.5"/>
    <col customWidth="1" min="6" max="6" outlineLevel="1" width="10.630000000000001"/>
    <col customWidth="1" min="7" max="7" outlineLevel="1" width="12.880000000000001"/>
    <col customWidth="1" min="8" max="8" width="10.630000000000001"/>
    <col customWidth="1" min="9" max="9" width="9.75"/>
    <col customWidth="1" min="10" max="10" width="10.5"/>
    <col customWidth="1" min="11" max="11" width="10.630000000000001"/>
    <col customWidth="1" min="12" max="12" width="10.5"/>
    <col customWidth="1" min="13" max="13" width="12.5"/>
    <col customWidth="1" min="14" max="14" width="10.5"/>
    <col customWidth="1" min="15" max="15" width="10.25"/>
    <col customWidth="1" min="16" max="16" width="9.8800000000000008"/>
    <col customWidth="1" min="17" max="17" width="10.75"/>
    <col customWidth="1" min="18" max="18" width="10.5"/>
    <col customWidth="1" min="19" max="19" width="10.25"/>
    <col customWidth="1" min="20" max="20" width="10.5"/>
    <col customWidth="1" min="21" max="21" width="10.25"/>
    <col customWidth="1" min="22" max="22" width="10.5"/>
    <col customWidth="1" min="23" max="23" width="10.25"/>
    <col customWidth="1" min="24" max="24" width="10.5"/>
    <col customWidth="1" min="25" max="25" width="10.25"/>
    <col customWidth="1" min="26" max="26" width="10.5"/>
    <col customWidth="1" min="27" max="27" width="10.25"/>
    <col customWidth="1" min="28" max="30" width="10.5"/>
    <col customWidth="1" min="31" max="31" width="10.25"/>
  </cols>
  <sheetData>
    <row r="1" ht="15.75" customHeight="1">
      <c r="A1" s="190"/>
      <c r="B1" s="190"/>
      <c r="C1" s="191"/>
      <c r="D1" s="192" t="s">
        <v>355</v>
      </c>
      <c r="E1" s="191"/>
      <c r="F1" s="191"/>
      <c r="G1" s="96"/>
      <c r="H1" s="193"/>
      <c r="I1" s="194"/>
      <c r="J1" s="193"/>
      <c r="K1" s="195"/>
      <c r="L1" s="193"/>
      <c r="M1" s="195"/>
      <c r="N1" s="193"/>
      <c r="O1" s="194"/>
      <c r="P1" s="193"/>
      <c r="Q1" s="194"/>
      <c r="R1" s="193"/>
      <c r="S1" s="194"/>
      <c r="T1" s="193"/>
      <c r="U1" s="194"/>
      <c r="V1" s="193"/>
      <c r="W1" s="194"/>
      <c r="X1" s="193"/>
      <c r="Y1" s="194"/>
      <c r="Z1" s="193"/>
      <c r="AA1" s="194"/>
      <c r="AB1" s="193"/>
      <c r="AC1" s="196"/>
      <c r="AD1" s="193"/>
      <c r="AE1" s="194"/>
    </row>
    <row r="2" ht="15.75" customHeight="1">
      <c r="A2" s="197"/>
      <c r="B2" s="198"/>
      <c r="C2" s="73"/>
      <c r="D2" s="199"/>
      <c r="E2" s="12"/>
      <c r="F2" s="12"/>
      <c r="G2" s="200"/>
      <c r="H2" s="201" t="s">
        <v>356</v>
      </c>
      <c r="I2" s="202"/>
      <c r="J2" s="201" t="s">
        <v>357</v>
      </c>
      <c r="K2" s="202"/>
      <c r="L2" s="203" t="s">
        <v>358</v>
      </c>
      <c r="M2" s="6"/>
      <c r="N2" s="201" t="s">
        <v>359</v>
      </c>
      <c r="O2" s="202"/>
      <c r="P2" s="201" t="s">
        <v>360</v>
      </c>
      <c r="Q2" s="6"/>
      <c r="R2" s="201" t="s">
        <v>361</v>
      </c>
      <c r="S2" s="6"/>
      <c r="T2" s="201" t="s">
        <v>362</v>
      </c>
      <c r="U2" s="6"/>
      <c r="V2" s="201" t="s">
        <v>363</v>
      </c>
      <c r="W2" s="6"/>
      <c r="X2" s="201" t="s">
        <v>364</v>
      </c>
      <c r="Y2" s="6"/>
      <c r="Z2" s="201" t="s">
        <v>365</v>
      </c>
      <c r="AA2" s="6"/>
      <c r="AB2" s="204" t="s">
        <v>366</v>
      </c>
      <c r="AC2" s="205"/>
      <c r="AD2" s="203" t="s">
        <v>367</v>
      </c>
      <c r="AE2" s="6"/>
    </row>
    <row r="3" ht="21" customHeight="1">
      <c r="A3" s="206"/>
      <c r="B3" s="206"/>
      <c r="C3" s="207" t="s">
        <v>368</v>
      </c>
      <c r="D3" s="208" t="s">
        <v>209</v>
      </c>
      <c r="E3" s="209" t="s">
        <v>369</v>
      </c>
      <c r="F3" s="209" t="s">
        <v>370</v>
      </c>
      <c r="G3" s="210" t="s">
        <v>371</v>
      </c>
      <c r="H3" s="211" t="s">
        <v>372</v>
      </c>
      <c r="I3" s="212" t="s">
        <v>373</v>
      </c>
      <c r="J3" s="211" t="s">
        <v>372</v>
      </c>
      <c r="K3" s="212" t="s">
        <v>373</v>
      </c>
      <c r="L3" s="213" t="s">
        <v>372</v>
      </c>
      <c r="M3" s="214" t="s">
        <v>373</v>
      </c>
      <c r="N3" s="215" t="s">
        <v>372</v>
      </c>
      <c r="O3" s="216" t="s">
        <v>373</v>
      </c>
      <c r="P3" s="211" t="s">
        <v>372</v>
      </c>
      <c r="Q3" s="216" t="s">
        <v>373</v>
      </c>
      <c r="R3" s="211" t="s">
        <v>372</v>
      </c>
      <c r="S3" s="216" t="s">
        <v>373</v>
      </c>
      <c r="T3" s="211" t="s">
        <v>372</v>
      </c>
      <c r="U3" s="216" t="s">
        <v>373</v>
      </c>
      <c r="V3" s="211" t="s">
        <v>372</v>
      </c>
      <c r="W3" s="216" t="s">
        <v>373</v>
      </c>
      <c r="X3" s="211" t="s">
        <v>372</v>
      </c>
      <c r="Y3" s="216" t="s">
        <v>373</v>
      </c>
      <c r="Z3" s="211" t="s">
        <v>372</v>
      </c>
      <c r="AA3" s="216" t="s">
        <v>373</v>
      </c>
      <c r="AB3" s="211" t="s">
        <v>372</v>
      </c>
      <c r="AC3" s="216" t="s">
        <v>373</v>
      </c>
      <c r="AD3" s="211" t="s">
        <v>372</v>
      </c>
      <c r="AE3" s="216" t="s">
        <v>373</v>
      </c>
    </row>
    <row r="4" ht="15.75" customHeight="1">
      <c r="A4" s="197"/>
      <c r="B4" s="198">
        <v>1</v>
      </c>
      <c r="C4" s="73" t="s">
        <v>374</v>
      </c>
      <c r="D4" s="217" t="s">
        <v>268</v>
      </c>
      <c r="E4" s="218">
        <v>44543</v>
      </c>
      <c r="F4" s="12" t="s">
        <v>375</v>
      </c>
      <c r="G4" s="200"/>
      <c r="H4" s="219">
        <v>6</v>
      </c>
      <c r="I4" s="220">
        <v>245013</v>
      </c>
      <c r="J4" s="219">
        <f>H4+1</f>
        <v>7</v>
      </c>
      <c r="K4" s="220">
        <v>276322</v>
      </c>
      <c r="L4" s="221">
        <f>J4+1</f>
        <v>8</v>
      </c>
      <c r="M4" s="222">
        <v>279094</v>
      </c>
      <c r="N4" s="219">
        <v>9</v>
      </c>
      <c r="O4" s="220">
        <v>250305</v>
      </c>
      <c r="P4" s="223"/>
      <c r="Q4" s="224"/>
      <c r="R4" s="223"/>
      <c r="S4" s="224"/>
      <c r="T4" s="223"/>
      <c r="U4" s="224"/>
      <c r="V4" s="223"/>
      <c r="W4" s="224"/>
      <c r="X4" s="223"/>
      <c r="Y4" s="224"/>
      <c r="Z4" s="223"/>
      <c r="AA4" s="224"/>
      <c r="AB4" s="223"/>
      <c r="AC4" s="225"/>
      <c r="AD4" s="223"/>
      <c r="AE4" s="224"/>
    </row>
    <row r="5" ht="15.75" customHeight="1">
      <c r="A5" s="96"/>
      <c r="B5" s="12">
        <v>2</v>
      </c>
      <c r="C5" s="73" t="s">
        <v>376</v>
      </c>
      <c r="D5" s="217" t="s">
        <v>324</v>
      </c>
      <c r="E5" s="226">
        <v>44867</v>
      </c>
      <c r="F5" s="227">
        <v>44937</v>
      </c>
      <c r="G5" s="200">
        <v>2</v>
      </c>
      <c r="H5" s="223"/>
      <c r="I5" s="224"/>
      <c r="J5" s="223"/>
      <c r="K5" s="224"/>
      <c r="L5" s="228"/>
      <c r="M5" s="229"/>
      <c r="N5" s="223"/>
      <c r="O5" s="224"/>
      <c r="P5" s="223"/>
      <c r="Q5" s="224"/>
      <c r="R5" s="219">
        <v>1</v>
      </c>
      <c r="S5" s="220">
        <v>0</v>
      </c>
      <c r="T5" s="219">
        <v>2</v>
      </c>
      <c r="U5" s="220">
        <v>0</v>
      </c>
      <c r="V5" s="223"/>
      <c r="W5" s="224"/>
      <c r="X5" s="223"/>
      <c r="Y5" s="224"/>
      <c r="Z5" s="223"/>
      <c r="AA5" s="224"/>
      <c r="AB5" s="223"/>
      <c r="AC5" s="225"/>
      <c r="AD5" s="223"/>
      <c r="AE5" s="224"/>
    </row>
    <row r="6" ht="15.75" customHeight="1">
      <c r="A6" s="96"/>
      <c r="B6" s="12">
        <v>3</v>
      </c>
      <c r="C6" s="73" t="s">
        <v>377</v>
      </c>
      <c r="D6" s="217" t="s">
        <v>241</v>
      </c>
      <c r="E6" s="226">
        <v>44991</v>
      </c>
      <c r="F6" s="12" t="s">
        <v>375</v>
      </c>
      <c r="G6" s="200"/>
      <c r="H6" s="223"/>
      <c r="I6" s="224"/>
      <c r="J6" s="223"/>
      <c r="K6" s="224"/>
      <c r="L6" s="228"/>
      <c r="M6" s="229"/>
      <c r="N6" s="223"/>
      <c r="O6" s="224"/>
      <c r="P6" s="223"/>
      <c r="Q6" s="224"/>
      <c r="R6" s="223"/>
      <c r="S6" s="224"/>
      <c r="T6" s="223"/>
      <c r="U6" s="224"/>
      <c r="V6" s="223"/>
      <c r="W6" s="224"/>
      <c r="X6" s="223"/>
      <c r="Y6" s="224"/>
      <c r="Z6" s="219">
        <v>1</v>
      </c>
      <c r="AA6" s="220"/>
      <c r="AB6" s="219">
        <v>2</v>
      </c>
      <c r="AC6" s="230"/>
      <c r="AD6" s="219">
        <v>3</v>
      </c>
      <c r="AE6" s="220"/>
    </row>
    <row r="7" ht="15.75" customHeight="1">
      <c r="A7" s="96"/>
      <c r="B7" s="198">
        <v>4</v>
      </c>
      <c r="C7" s="73" t="s">
        <v>377</v>
      </c>
      <c r="D7" s="217" t="s">
        <v>245</v>
      </c>
      <c r="E7" s="226">
        <v>44445</v>
      </c>
      <c r="F7" s="227">
        <v>44812</v>
      </c>
      <c r="G7" s="200">
        <v>12</v>
      </c>
      <c r="H7" s="219">
        <v>9</v>
      </c>
      <c r="I7" s="220" t="s">
        <v>378</v>
      </c>
      <c r="J7" s="219">
        <f>H7+1</f>
        <v>10</v>
      </c>
      <c r="K7" s="220">
        <v>203978</v>
      </c>
      <c r="L7" s="221">
        <f>J7+1</f>
        <v>11</v>
      </c>
      <c r="M7" s="222">
        <v>235803</v>
      </c>
      <c r="N7" s="219">
        <v>12</v>
      </c>
      <c r="O7" s="220">
        <v>342349</v>
      </c>
      <c r="P7" s="223"/>
      <c r="Q7" s="224"/>
      <c r="R7" s="223"/>
      <c r="S7" s="224"/>
      <c r="T7" s="223"/>
      <c r="U7" s="224"/>
      <c r="V7" s="223"/>
      <c r="W7" s="224"/>
      <c r="X7" s="223"/>
      <c r="Y7" s="224"/>
      <c r="Z7" s="224"/>
      <c r="AA7" s="224"/>
      <c r="AB7" s="224"/>
      <c r="AC7" s="224"/>
      <c r="AD7" s="224"/>
      <c r="AE7" s="224"/>
    </row>
    <row r="8" ht="15.75" customHeight="1">
      <c r="A8" s="197"/>
      <c r="B8" s="12">
        <v>5</v>
      </c>
      <c r="C8" s="231" t="s">
        <v>379</v>
      </c>
      <c r="D8" s="217" t="s">
        <v>380</v>
      </c>
      <c r="E8" s="226">
        <v>44963</v>
      </c>
      <c r="F8" s="12" t="s">
        <v>381</v>
      </c>
      <c r="G8" s="200"/>
      <c r="H8" s="223"/>
      <c r="I8" s="224"/>
      <c r="J8" s="223"/>
      <c r="K8" s="224"/>
      <c r="L8" s="228"/>
      <c r="M8" s="229"/>
      <c r="N8" s="223"/>
      <c r="O8" s="224"/>
      <c r="P8" s="223"/>
      <c r="Q8" s="224"/>
      <c r="R8" s="223"/>
      <c r="S8" s="224"/>
      <c r="T8" s="223"/>
      <c r="U8" s="224"/>
      <c r="V8" s="223"/>
      <c r="W8" s="224"/>
      <c r="X8" s="219">
        <v>1</v>
      </c>
      <c r="Y8" s="220">
        <v>0</v>
      </c>
      <c r="Z8" s="219">
        <v>2</v>
      </c>
      <c r="AA8" s="220"/>
      <c r="AB8" s="219"/>
      <c r="AC8" s="230"/>
      <c r="AD8" s="219"/>
      <c r="AE8" s="220"/>
    </row>
    <row r="9" ht="15.75" customHeight="1">
      <c r="A9" s="96"/>
      <c r="B9" s="12">
        <v>6</v>
      </c>
      <c r="C9" s="73" t="s">
        <v>382</v>
      </c>
      <c r="D9" s="217" t="s">
        <v>338</v>
      </c>
      <c r="E9" s="226">
        <v>44823</v>
      </c>
      <c r="F9" s="12" t="s">
        <v>381</v>
      </c>
      <c r="G9" s="200"/>
      <c r="H9" s="223"/>
      <c r="I9" s="224"/>
      <c r="J9" s="223"/>
      <c r="K9" s="224"/>
      <c r="L9" s="228"/>
      <c r="M9" s="229"/>
      <c r="N9" s="223"/>
      <c r="O9" s="224"/>
      <c r="P9" s="219">
        <v>1</v>
      </c>
      <c r="Q9" s="220">
        <v>0</v>
      </c>
      <c r="R9" s="219">
        <v>2</v>
      </c>
      <c r="S9" s="220">
        <v>20309</v>
      </c>
      <c r="T9" s="219">
        <v>3</v>
      </c>
      <c r="U9" s="220">
        <v>36574</v>
      </c>
      <c r="V9" s="219">
        <v>4</v>
      </c>
      <c r="W9" s="220">
        <v>30864</v>
      </c>
      <c r="X9" s="219">
        <v>5</v>
      </c>
      <c r="Y9" s="220">
        <v>45159</v>
      </c>
      <c r="Z9" s="219"/>
      <c r="AA9" s="220"/>
      <c r="AB9" s="219"/>
      <c r="AC9" s="230"/>
      <c r="AD9" s="219"/>
      <c r="AE9" s="220"/>
    </row>
    <row r="10" ht="17.25" customHeight="1">
      <c r="A10" s="197"/>
      <c r="B10" s="198">
        <v>7</v>
      </c>
      <c r="C10" s="73" t="s">
        <v>377</v>
      </c>
      <c r="D10" s="217" t="s">
        <v>248</v>
      </c>
      <c r="E10" s="226">
        <v>44833</v>
      </c>
      <c r="F10" s="12" t="s">
        <v>381</v>
      </c>
      <c r="G10" s="200"/>
      <c r="H10" s="223"/>
      <c r="I10" s="224"/>
      <c r="J10" s="223"/>
      <c r="K10" s="224"/>
      <c r="L10" s="228"/>
      <c r="M10" s="229"/>
      <c r="N10" s="223"/>
      <c r="O10" s="224"/>
      <c r="P10" s="219">
        <v>1</v>
      </c>
      <c r="Q10" s="220">
        <v>0</v>
      </c>
      <c r="R10" s="219">
        <v>2</v>
      </c>
      <c r="S10" s="220">
        <v>0</v>
      </c>
      <c r="T10" s="219">
        <v>3</v>
      </c>
      <c r="U10" s="220">
        <v>30800</v>
      </c>
      <c r="V10" s="219">
        <v>4</v>
      </c>
      <c r="W10" s="220">
        <v>73662</v>
      </c>
      <c r="X10" s="219">
        <v>5</v>
      </c>
      <c r="Y10" s="220">
        <v>198782</v>
      </c>
      <c r="Z10" s="219"/>
      <c r="AA10" s="220"/>
      <c r="AB10" s="219"/>
      <c r="AC10" s="230"/>
      <c r="AD10" s="219"/>
      <c r="AE10" s="220"/>
    </row>
    <row r="11" ht="15.75" customHeight="1">
      <c r="A11" s="96"/>
      <c r="B11" s="12">
        <v>8</v>
      </c>
      <c r="C11" s="231" t="s">
        <v>377</v>
      </c>
      <c r="D11" s="232" t="s">
        <v>250</v>
      </c>
      <c r="E11" s="226">
        <v>44826</v>
      </c>
      <c r="F11" s="12" t="s">
        <v>381</v>
      </c>
      <c r="G11" s="200"/>
      <c r="H11" s="223"/>
      <c r="I11" s="224"/>
      <c r="J11" s="223"/>
      <c r="K11" s="224"/>
      <c r="L11" s="228"/>
      <c r="M11" s="229"/>
      <c r="N11" s="223"/>
      <c r="O11" s="224"/>
      <c r="P11" s="219">
        <v>1</v>
      </c>
      <c r="Q11" s="220">
        <v>105734</v>
      </c>
      <c r="R11" s="219">
        <v>2</v>
      </c>
      <c r="S11" s="220">
        <v>588855</v>
      </c>
      <c r="T11" s="219">
        <v>3</v>
      </c>
      <c r="U11" s="220">
        <v>737032</v>
      </c>
      <c r="V11" s="219">
        <v>4</v>
      </c>
      <c r="W11" s="220">
        <v>517132</v>
      </c>
      <c r="X11" s="219">
        <v>5</v>
      </c>
      <c r="Y11" s="220">
        <v>516145</v>
      </c>
      <c r="Z11" s="219"/>
      <c r="AA11" s="220"/>
      <c r="AB11" s="219"/>
      <c r="AC11" s="230"/>
      <c r="AD11" s="219"/>
      <c r="AE11" s="220"/>
    </row>
    <row r="12" ht="15.75" customHeight="1">
      <c r="A12" s="197"/>
      <c r="B12" s="12">
        <v>9</v>
      </c>
      <c r="C12" s="73" t="s">
        <v>376</v>
      </c>
      <c r="D12" s="217" t="s">
        <v>325</v>
      </c>
      <c r="E12" s="233">
        <v>44897</v>
      </c>
      <c r="F12" s="12" t="s">
        <v>381</v>
      </c>
      <c r="G12" s="200"/>
      <c r="H12" s="223"/>
      <c r="I12" s="224"/>
      <c r="J12" s="223"/>
      <c r="K12" s="224"/>
      <c r="L12" s="228"/>
      <c r="M12" s="229"/>
      <c r="N12" s="223"/>
      <c r="O12" s="224"/>
      <c r="P12" s="223"/>
      <c r="Q12" s="224"/>
      <c r="R12" s="223"/>
      <c r="S12" s="224"/>
      <c r="T12" s="219">
        <v>1</v>
      </c>
      <c r="U12" s="220">
        <v>0</v>
      </c>
      <c r="V12" s="219">
        <v>2</v>
      </c>
      <c r="W12" s="220">
        <v>30355</v>
      </c>
      <c r="X12" s="219">
        <v>3</v>
      </c>
      <c r="Y12" s="220">
        <v>56106</v>
      </c>
      <c r="Z12" s="219"/>
      <c r="AA12" s="220"/>
      <c r="AB12" s="219"/>
      <c r="AC12" s="230"/>
      <c r="AD12" s="219"/>
      <c r="AE12" s="220"/>
    </row>
    <row r="13" ht="15.75" customHeight="1">
      <c r="A13" s="96"/>
      <c r="B13" s="198">
        <v>10</v>
      </c>
      <c r="C13" s="73" t="s">
        <v>382</v>
      </c>
      <c r="D13" s="217" t="s">
        <v>383</v>
      </c>
      <c r="E13" s="226">
        <v>44692</v>
      </c>
      <c r="F13" s="227">
        <v>44979</v>
      </c>
      <c r="G13" s="200">
        <v>9</v>
      </c>
      <c r="H13" s="219">
        <v>1</v>
      </c>
      <c r="I13" s="220">
        <v>0</v>
      </c>
      <c r="J13" s="219">
        <v>2</v>
      </c>
      <c r="K13" s="220">
        <v>0</v>
      </c>
      <c r="L13" s="221">
        <v>3</v>
      </c>
      <c r="M13" s="222">
        <v>58870</v>
      </c>
      <c r="N13" s="219">
        <v>4</v>
      </c>
      <c r="O13" s="220">
        <v>103122</v>
      </c>
      <c r="P13" s="219">
        <v>5</v>
      </c>
      <c r="Q13" s="220">
        <v>150976</v>
      </c>
      <c r="R13" s="219">
        <v>6</v>
      </c>
      <c r="S13" s="220">
        <v>157446</v>
      </c>
      <c r="T13" s="219">
        <v>7</v>
      </c>
      <c r="U13" s="220">
        <v>187507</v>
      </c>
      <c r="V13" s="219">
        <v>8</v>
      </c>
      <c r="W13" s="220">
        <v>137368</v>
      </c>
      <c r="X13" s="219">
        <v>9</v>
      </c>
      <c r="Y13" s="220">
        <v>218082</v>
      </c>
      <c r="Z13" s="219"/>
      <c r="AA13" s="220"/>
      <c r="AB13" s="219"/>
      <c r="AC13" s="230"/>
      <c r="AD13" s="219"/>
      <c r="AE13" s="220"/>
    </row>
    <row r="14" ht="15.75" customHeight="1">
      <c r="A14" s="197"/>
      <c r="B14" s="12">
        <v>11</v>
      </c>
      <c r="C14" s="73" t="s">
        <v>384</v>
      </c>
      <c r="D14" s="217" t="s">
        <v>235</v>
      </c>
      <c r="E14" s="226">
        <v>44607</v>
      </c>
      <c r="F14" s="12" t="s">
        <v>375</v>
      </c>
      <c r="G14" s="200"/>
      <c r="H14" s="219">
        <v>4</v>
      </c>
      <c r="I14" s="220">
        <v>156440</v>
      </c>
      <c r="J14" s="219">
        <v>5</v>
      </c>
      <c r="K14" s="220">
        <v>328969</v>
      </c>
      <c r="L14" s="221">
        <v>6</v>
      </c>
      <c r="M14" s="222">
        <v>479563</v>
      </c>
      <c r="N14" s="219">
        <v>7</v>
      </c>
      <c r="O14" s="220">
        <v>719312</v>
      </c>
      <c r="P14" s="219">
        <v>8</v>
      </c>
      <c r="Q14" s="220">
        <v>730103</v>
      </c>
      <c r="R14" s="219">
        <v>9</v>
      </c>
      <c r="S14" s="220">
        <v>954006</v>
      </c>
      <c r="T14" s="219">
        <v>10</v>
      </c>
      <c r="U14" s="220">
        <v>1831137</v>
      </c>
      <c r="V14" s="219">
        <v>11</v>
      </c>
      <c r="W14" s="220">
        <v>1180862</v>
      </c>
      <c r="X14" s="219">
        <v>12</v>
      </c>
      <c r="Y14" s="220">
        <v>1226069</v>
      </c>
      <c r="Z14" s="219"/>
      <c r="AA14" s="220"/>
      <c r="AB14" s="219"/>
      <c r="AC14" s="230"/>
      <c r="AD14" s="219"/>
      <c r="AE14" s="220"/>
    </row>
    <row r="15" ht="15.75" customHeight="1">
      <c r="A15" s="197"/>
      <c r="B15" s="12">
        <v>12</v>
      </c>
      <c r="C15" s="231" t="s">
        <v>376</v>
      </c>
      <c r="D15" s="217" t="s">
        <v>317</v>
      </c>
      <c r="E15" s="226">
        <v>44970</v>
      </c>
      <c r="F15" s="12" t="s">
        <v>375</v>
      </c>
      <c r="G15" s="200"/>
      <c r="H15" s="223"/>
      <c r="I15" s="224"/>
      <c r="J15" s="223"/>
      <c r="K15" s="224"/>
      <c r="L15" s="228"/>
      <c r="M15" s="229"/>
      <c r="N15" s="223"/>
      <c r="O15" s="224"/>
      <c r="P15" s="223"/>
      <c r="Q15" s="224"/>
      <c r="R15" s="223"/>
      <c r="S15" s="224"/>
      <c r="T15" s="223"/>
      <c r="U15" s="224"/>
      <c r="V15" s="223"/>
      <c r="W15" s="224"/>
      <c r="X15" s="223"/>
      <c r="Y15" s="224"/>
      <c r="Z15" s="219">
        <v>1</v>
      </c>
      <c r="AA15" s="220"/>
      <c r="AB15" s="219">
        <v>2</v>
      </c>
      <c r="AC15" s="230"/>
      <c r="AD15" s="219">
        <v>3</v>
      </c>
      <c r="AE15" s="220"/>
    </row>
    <row r="16" ht="15.75" customHeight="1">
      <c r="A16" s="96"/>
      <c r="B16" s="198">
        <v>13</v>
      </c>
      <c r="C16" s="73" t="s">
        <v>385</v>
      </c>
      <c r="D16" s="217" t="s">
        <v>297</v>
      </c>
      <c r="E16" s="226">
        <v>44867</v>
      </c>
      <c r="F16" s="227">
        <v>44957</v>
      </c>
      <c r="G16" s="200">
        <v>3</v>
      </c>
      <c r="H16" s="223"/>
      <c r="I16" s="224"/>
      <c r="J16" s="223"/>
      <c r="K16" s="224"/>
      <c r="L16" s="228"/>
      <c r="M16" s="229"/>
      <c r="N16" s="223"/>
      <c r="O16" s="224"/>
      <c r="P16" s="223"/>
      <c r="Q16" s="224"/>
      <c r="R16" s="219">
        <v>1</v>
      </c>
      <c r="S16" s="220">
        <v>0</v>
      </c>
      <c r="T16" s="219">
        <v>2</v>
      </c>
      <c r="U16" s="220">
        <v>0</v>
      </c>
      <c r="V16" s="219">
        <v>3</v>
      </c>
      <c r="W16" s="220">
        <v>20105</v>
      </c>
      <c r="X16" s="223"/>
      <c r="Y16" s="224"/>
      <c r="Z16" s="223"/>
      <c r="AA16" s="224"/>
      <c r="AB16" s="223"/>
      <c r="AC16" s="225"/>
      <c r="AD16" s="223"/>
      <c r="AE16" s="224"/>
    </row>
    <row r="17" ht="15.75" customHeight="1">
      <c r="A17" s="96"/>
      <c r="B17" s="12">
        <v>14</v>
      </c>
      <c r="C17" s="73" t="s">
        <v>377</v>
      </c>
      <c r="D17" s="217" t="s">
        <v>251</v>
      </c>
      <c r="E17" s="226">
        <v>43983</v>
      </c>
      <c r="F17" s="227">
        <v>44839</v>
      </c>
      <c r="G17" s="200">
        <v>29</v>
      </c>
      <c r="H17" s="219">
        <v>24</v>
      </c>
      <c r="I17" s="220">
        <v>201850</v>
      </c>
      <c r="J17" s="219">
        <f t="shared" ref="J17:J48" si="231">H17+1</f>
        <v>25</v>
      </c>
      <c r="K17" s="220">
        <v>126224</v>
      </c>
      <c r="L17" s="221">
        <f t="shared" ref="L17:L48" si="232">J17+1</f>
        <v>26</v>
      </c>
      <c r="M17" s="222">
        <v>48040</v>
      </c>
      <c r="N17" s="219">
        <v>27</v>
      </c>
      <c r="O17" s="220">
        <v>217953</v>
      </c>
      <c r="P17" s="223"/>
      <c r="Q17" s="224"/>
      <c r="R17" s="223"/>
      <c r="S17" s="224"/>
      <c r="T17" s="223"/>
      <c r="U17" s="224"/>
      <c r="V17" s="223"/>
      <c r="W17" s="224"/>
      <c r="X17" s="223"/>
      <c r="Y17" s="224"/>
      <c r="Z17" s="223"/>
      <c r="AA17" s="224"/>
      <c r="AB17" s="223"/>
      <c r="AC17" s="225"/>
      <c r="AD17" s="223"/>
      <c r="AE17" s="224"/>
    </row>
    <row r="18" ht="15.75" customHeight="1">
      <c r="A18" s="197"/>
      <c r="B18" s="12">
        <v>15</v>
      </c>
      <c r="C18" s="73" t="s">
        <v>374</v>
      </c>
      <c r="D18" s="217" t="s">
        <v>271</v>
      </c>
      <c r="E18" s="226">
        <v>44621</v>
      </c>
      <c r="F18" s="227">
        <v>44827</v>
      </c>
      <c r="G18" s="200">
        <v>7</v>
      </c>
      <c r="H18" s="219">
        <v>3</v>
      </c>
      <c r="I18" s="220">
        <v>0</v>
      </c>
      <c r="J18" s="219">
        <f t="shared" si="231"/>
        <v>4</v>
      </c>
      <c r="K18" s="220">
        <v>28668</v>
      </c>
      <c r="L18" s="221">
        <f t="shared" si="232"/>
        <v>5</v>
      </c>
      <c r="M18" s="222">
        <v>137814</v>
      </c>
      <c r="N18" s="219">
        <v>6</v>
      </c>
      <c r="O18" s="220">
        <v>321637</v>
      </c>
      <c r="P18" s="223"/>
      <c r="Q18" s="224"/>
      <c r="R18" s="223"/>
      <c r="S18" s="224"/>
      <c r="T18" s="223"/>
      <c r="U18" s="224"/>
      <c r="V18" s="223"/>
      <c r="W18" s="224"/>
      <c r="X18" s="223"/>
      <c r="Y18" s="224"/>
      <c r="Z18" s="223"/>
      <c r="AA18" s="224"/>
      <c r="AB18" s="223"/>
      <c r="AC18" s="225"/>
      <c r="AD18" s="223"/>
      <c r="AE18" s="224"/>
    </row>
    <row r="19" ht="15.75" customHeight="1">
      <c r="A19" s="96"/>
      <c r="B19" s="198">
        <v>16</v>
      </c>
      <c r="C19" s="231" t="s">
        <v>376</v>
      </c>
      <c r="D19" s="217" t="s">
        <v>328</v>
      </c>
      <c r="E19" s="226">
        <v>45002</v>
      </c>
      <c r="F19" s="12" t="s">
        <v>375</v>
      </c>
      <c r="G19" s="200"/>
      <c r="H19" s="223"/>
      <c r="I19" s="224"/>
      <c r="J19" s="223"/>
      <c r="K19" s="224"/>
      <c r="L19" s="228"/>
      <c r="M19" s="229"/>
      <c r="N19" s="223"/>
      <c r="O19" s="224"/>
      <c r="P19" s="223"/>
      <c r="Q19" s="224"/>
      <c r="R19" s="223"/>
      <c r="S19" s="224"/>
      <c r="T19" s="223"/>
      <c r="U19" s="224"/>
      <c r="V19" s="223"/>
      <c r="W19" s="224"/>
      <c r="X19" s="223"/>
      <c r="Y19" s="224"/>
      <c r="Z19" s="223"/>
      <c r="AA19" s="224"/>
      <c r="AB19" s="223">
        <v>1</v>
      </c>
      <c r="AC19" s="230"/>
      <c r="AD19" s="219">
        <v>2</v>
      </c>
      <c r="AE19" s="220"/>
    </row>
    <row r="20" ht="15.75" customHeight="1">
      <c r="A20" s="197"/>
      <c r="B20" s="12">
        <v>17</v>
      </c>
      <c r="C20" s="73" t="s">
        <v>386</v>
      </c>
      <c r="D20" s="217" t="s">
        <v>387</v>
      </c>
      <c r="E20" s="218">
        <v>44524</v>
      </c>
      <c r="F20" s="227">
        <v>44810</v>
      </c>
      <c r="G20" s="200">
        <v>9</v>
      </c>
      <c r="H20" s="219">
        <v>7</v>
      </c>
      <c r="I20" s="220">
        <v>27279</v>
      </c>
      <c r="J20" s="219">
        <f t="shared" si="231"/>
        <v>8</v>
      </c>
      <c r="K20" s="220">
        <v>22357</v>
      </c>
      <c r="L20" s="221">
        <f t="shared" si="232"/>
        <v>9</v>
      </c>
      <c r="M20" s="222">
        <v>38769</v>
      </c>
      <c r="N20" s="223"/>
      <c r="O20" s="224"/>
      <c r="P20" s="223"/>
      <c r="Q20" s="224"/>
      <c r="R20" s="223"/>
      <c r="S20" s="224"/>
      <c r="T20" s="223"/>
      <c r="U20" s="224"/>
      <c r="V20" s="223"/>
      <c r="W20" s="224"/>
      <c r="X20" s="223"/>
      <c r="Y20" s="224"/>
      <c r="Z20" s="223"/>
      <c r="AA20" s="224"/>
      <c r="AB20" s="223"/>
      <c r="AC20" s="225"/>
      <c r="AD20" s="223"/>
      <c r="AE20" s="224"/>
    </row>
    <row r="21" ht="15.75" customHeight="1">
      <c r="A21" s="96"/>
      <c r="B21" s="12">
        <v>18</v>
      </c>
      <c r="C21" s="73" t="s">
        <v>379</v>
      </c>
      <c r="D21" s="217" t="s">
        <v>300</v>
      </c>
      <c r="E21" s="226">
        <v>44713</v>
      </c>
      <c r="F21" s="234">
        <v>44860</v>
      </c>
      <c r="G21" s="200">
        <v>5</v>
      </c>
      <c r="H21" s="219">
        <v>1</v>
      </c>
      <c r="I21" s="220">
        <v>0</v>
      </c>
      <c r="J21" s="219">
        <f t="shared" si="231"/>
        <v>2</v>
      </c>
      <c r="K21" s="220">
        <v>24480</v>
      </c>
      <c r="L21" s="221">
        <f t="shared" si="232"/>
        <v>3</v>
      </c>
      <c r="M21" s="222">
        <v>67743</v>
      </c>
      <c r="N21" s="219">
        <v>4</v>
      </c>
      <c r="O21" s="220">
        <v>205805</v>
      </c>
      <c r="P21" s="219">
        <v>5</v>
      </c>
      <c r="Q21" s="220">
        <v>187446</v>
      </c>
      <c r="R21" s="223"/>
      <c r="S21" s="224"/>
      <c r="T21" s="223"/>
      <c r="U21" s="224"/>
      <c r="V21" s="223"/>
      <c r="W21" s="224"/>
      <c r="X21" s="223"/>
      <c r="Y21" s="224"/>
      <c r="Z21" s="223"/>
      <c r="AA21" s="224"/>
      <c r="AB21" s="223"/>
      <c r="AC21" s="225"/>
      <c r="AD21" s="223"/>
      <c r="AE21" s="224"/>
    </row>
    <row r="22" ht="15.75" customHeight="1">
      <c r="A22" s="197"/>
      <c r="B22" s="198">
        <v>19</v>
      </c>
      <c r="C22" s="73" t="s">
        <v>374</v>
      </c>
      <c r="D22" s="217" t="s">
        <v>277</v>
      </c>
      <c r="E22" s="226">
        <v>44467</v>
      </c>
      <c r="F22" s="12" t="s">
        <v>381</v>
      </c>
      <c r="G22" s="200"/>
      <c r="H22" s="219">
        <v>8</v>
      </c>
      <c r="I22" s="220">
        <v>102049</v>
      </c>
      <c r="J22" s="219">
        <f t="shared" si="231"/>
        <v>9</v>
      </c>
      <c r="K22" s="220">
        <v>120445</v>
      </c>
      <c r="L22" s="221">
        <f t="shared" si="232"/>
        <v>10</v>
      </c>
      <c r="M22" s="222">
        <v>162472</v>
      </c>
      <c r="N22" s="219">
        <v>11</v>
      </c>
      <c r="O22" s="220">
        <v>132252</v>
      </c>
      <c r="P22" s="219">
        <v>12</v>
      </c>
      <c r="Q22" s="220">
        <v>440839</v>
      </c>
      <c r="R22" s="219">
        <v>13</v>
      </c>
      <c r="S22" s="220">
        <v>500152</v>
      </c>
      <c r="T22" s="219">
        <v>14</v>
      </c>
      <c r="U22" s="220">
        <v>546824</v>
      </c>
      <c r="V22" s="219">
        <v>15</v>
      </c>
      <c r="W22" s="220">
        <v>371920</v>
      </c>
      <c r="X22" s="219">
        <v>16</v>
      </c>
      <c r="Y22" s="220">
        <v>353141</v>
      </c>
      <c r="Z22" s="219"/>
      <c r="AA22" s="220"/>
      <c r="AB22" s="219"/>
      <c r="AC22" s="230"/>
      <c r="AD22" s="219"/>
      <c r="AE22" s="220"/>
    </row>
    <row r="23" ht="15.75" customHeight="1">
      <c r="A23" s="96"/>
      <c r="B23" s="12">
        <v>20</v>
      </c>
      <c r="C23" s="231" t="s">
        <v>377</v>
      </c>
      <c r="D23" s="217" t="s">
        <v>258</v>
      </c>
      <c r="E23" s="226">
        <v>44977</v>
      </c>
      <c r="F23" s="227">
        <v>45005</v>
      </c>
      <c r="G23" s="200">
        <v>1</v>
      </c>
      <c r="H23" s="223"/>
      <c r="I23" s="224"/>
      <c r="J23" s="223"/>
      <c r="K23" s="224"/>
      <c r="L23" s="228"/>
      <c r="M23" s="229"/>
      <c r="N23" s="223"/>
      <c r="O23" s="224"/>
      <c r="P23" s="223"/>
      <c r="Q23" s="224"/>
      <c r="R23" s="223"/>
      <c r="S23" s="224"/>
      <c r="T23" s="223"/>
      <c r="U23" s="224"/>
      <c r="V23" s="223"/>
      <c r="W23" s="224"/>
      <c r="X23" s="223"/>
      <c r="Y23" s="224"/>
      <c r="Z23" s="219">
        <v>1</v>
      </c>
      <c r="AA23" s="220">
        <v>0</v>
      </c>
      <c r="AB23" s="219"/>
      <c r="AC23" s="225"/>
      <c r="AD23" s="223"/>
      <c r="AE23" s="224"/>
    </row>
    <row r="24" ht="15.75" customHeight="1">
      <c r="A24" s="197"/>
      <c r="B24" s="12">
        <v>21</v>
      </c>
      <c r="C24" s="73" t="s">
        <v>377</v>
      </c>
      <c r="D24" s="217" t="s">
        <v>244</v>
      </c>
      <c r="E24" s="226">
        <v>44389</v>
      </c>
      <c r="F24" s="12" t="s">
        <v>381</v>
      </c>
      <c r="G24" s="200"/>
      <c r="H24" s="219">
        <v>11</v>
      </c>
      <c r="I24" s="220">
        <v>260825</v>
      </c>
      <c r="J24" s="219">
        <f t="shared" si="231"/>
        <v>12</v>
      </c>
      <c r="K24" s="220">
        <v>196768</v>
      </c>
      <c r="L24" s="221">
        <f t="shared" si="232"/>
        <v>13</v>
      </c>
      <c r="M24" s="222">
        <v>172227</v>
      </c>
      <c r="N24" s="219">
        <v>14</v>
      </c>
      <c r="O24" s="220">
        <v>259235</v>
      </c>
      <c r="P24" s="219">
        <v>15</v>
      </c>
      <c r="Q24" s="220">
        <v>447340</v>
      </c>
      <c r="R24" s="219">
        <v>16</v>
      </c>
      <c r="S24" s="220">
        <v>504525</v>
      </c>
      <c r="T24" s="219">
        <v>17</v>
      </c>
      <c r="U24" s="220">
        <v>551687</v>
      </c>
      <c r="V24" s="219">
        <v>18</v>
      </c>
      <c r="W24" s="220">
        <v>329883</v>
      </c>
      <c r="X24" s="219">
        <v>19</v>
      </c>
      <c r="Y24" s="220">
        <v>466239</v>
      </c>
      <c r="Z24" s="219"/>
      <c r="AA24" s="220"/>
      <c r="AB24" s="219"/>
      <c r="AC24" s="230"/>
      <c r="AD24" s="219"/>
      <c r="AE24" s="220"/>
    </row>
    <row r="25" ht="15.75" customHeight="1">
      <c r="A25" s="96"/>
      <c r="B25" s="198">
        <v>22</v>
      </c>
      <c r="C25" s="73" t="s">
        <v>377</v>
      </c>
      <c r="D25" s="217" t="s">
        <v>253</v>
      </c>
      <c r="E25" s="226">
        <v>43745</v>
      </c>
      <c r="F25" s="227">
        <v>44790</v>
      </c>
      <c r="G25" s="200">
        <v>35</v>
      </c>
      <c r="H25" s="219">
        <v>33</v>
      </c>
      <c r="I25" s="220">
        <v>240020</v>
      </c>
      <c r="J25" s="219">
        <f t="shared" si="231"/>
        <v>34</v>
      </c>
      <c r="K25" s="220">
        <v>208015</v>
      </c>
      <c r="L25" s="221">
        <f t="shared" si="232"/>
        <v>35</v>
      </c>
      <c r="M25" s="222">
        <v>118982</v>
      </c>
      <c r="N25" s="223"/>
      <c r="O25" s="224"/>
      <c r="P25" s="223"/>
      <c r="Q25" s="224"/>
      <c r="R25" s="223"/>
      <c r="S25" s="224"/>
      <c r="T25" s="223"/>
      <c r="U25" s="224"/>
      <c r="V25" s="223"/>
      <c r="W25" s="224"/>
      <c r="X25" s="223"/>
      <c r="Y25" s="224"/>
      <c r="Z25" s="223"/>
      <c r="AA25" s="224"/>
      <c r="AB25" s="223"/>
      <c r="AC25" s="225"/>
      <c r="AD25" s="223"/>
      <c r="AE25" s="224"/>
    </row>
    <row r="26" ht="15.75" customHeight="1">
      <c r="A26" s="197"/>
      <c r="B26" s="12">
        <v>23</v>
      </c>
      <c r="C26" s="235" t="s">
        <v>374</v>
      </c>
      <c r="D26" s="217" t="s">
        <v>278</v>
      </c>
      <c r="E26" s="218">
        <v>44858</v>
      </c>
      <c r="F26" s="12" t="s">
        <v>381</v>
      </c>
      <c r="G26" s="200"/>
      <c r="H26" s="223"/>
      <c r="I26" s="224"/>
      <c r="J26" s="223"/>
      <c r="K26" s="224"/>
      <c r="L26" s="228"/>
      <c r="M26" s="229"/>
      <c r="N26" s="223"/>
      <c r="O26" s="224"/>
      <c r="P26" s="223"/>
      <c r="Q26" s="224"/>
      <c r="R26" s="219">
        <v>1</v>
      </c>
      <c r="S26" s="220">
        <v>0</v>
      </c>
      <c r="T26" s="219">
        <v>2</v>
      </c>
      <c r="U26" s="220">
        <v>104946</v>
      </c>
      <c r="V26" s="219">
        <v>3</v>
      </c>
      <c r="W26" s="220">
        <v>12000</v>
      </c>
      <c r="X26" s="219">
        <v>4</v>
      </c>
      <c r="Y26" s="220">
        <v>12000</v>
      </c>
      <c r="Z26" s="219"/>
      <c r="AA26" s="220"/>
      <c r="AB26" s="219"/>
      <c r="AC26" s="230"/>
      <c r="AD26" s="219"/>
      <c r="AE26" s="220"/>
    </row>
    <row r="27" ht="18" customHeight="1">
      <c r="A27" s="96"/>
      <c r="B27" s="12">
        <v>24</v>
      </c>
      <c r="C27" s="73" t="s">
        <v>382</v>
      </c>
      <c r="D27" s="232" t="s">
        <v>340</v>
      </c>
      <c r="E27" s="226">
        <v>44364</v>
      </c>
      <c r="F27" s="12" t="s">
        <v>381</v>
      </c>
      <c r="G27" s="200"/>
      <c r="H27" s="219">
        <v>12</v>
      </c>
      <c r="I27" s="220">
        <v>90253</v>
      </c>
      <c r="J27" s="219">
        <f t="shared" si="231"/>
        <v>13</v>
      </c>
      <c r="K27" s="220">
        <v>91167</v>
      </c>
      <c r="L27" s="221">
        <f t="shared" si="232"/>
        <v>14</v>
      </c>
      <c r="M27" s="222">
        <v>169738</v>
      </c>
      <c r="N27" s="219">
        <v>15</v>
      </c>
      <c r="O27" s="220">
        <v>1244896</v>
      </c>
      <c r="P27" s="219">
        <v>16</v>
      </c>
      <c r="Q27" s="220">
        <v>1567249</v>
      </c>
      <c r="R27" s="219">
        <v>17</v>
      </c>
      <c r="S27" s="220">
        <v>1971768</v>
      </c>
      <c r="T27" s="219">
        <v>18</v>
      </c>
      <c r="U27" s="220">
        <v>2232191</v>
      </c>
      <c r="V27" s="219">
        <v>19</v>
      </c>
      <c r="W27" s="220">
        <v>1878473</v>
      </c>
      <c r="X27" s="219">
        <v>20</v>
      </c>
      <c r="Y27" s="220">
        <v>2003070</v>
      </c>
      <c r="Z27" s="219"/>
      <c r="AA27" s="220"/>
      <c r="AB27" s="219"/>
      <c r="AC27" s="230"/>
      <c r="AD27" s="219"/>
      <c r="AE27" s="220"/>
    </row>
    <row r="28" ht="18" customHeight="1">
      <c r="A28" s="197"/>
      <c r="B28" s="198">
        <v>25</v>
      </c>
      <c r="C28" s="73" t="s">
        <v>376</v>
      </c>
      <c r="D28" s="217" t="s">
        <v>313</v>
      </c>
      <c r="E28" s="226">
        <v>44440</v>
      </c>
      <c r="F28" s="12" t="s">
        <v>381</v>
      </c>
      <c r="G28" s="200"/>
      <c r="H28" s="219">
        <v>9</v>
      </c>
      <c r="I28" s="220">
        <v>270000</v>
      </c>
      <c r="J28" s="219">
        <f t="shared" si="231"/>
        <v>10</v>
      </c>
      <c r="K28" s="220">
        <v>311847</v>
      </c>
      <c r="L28" s="221">
        <f t="shared" si="232"/>
        <v>11</v>
      </c>
      <c r="M28" s="222">
        <v>515952</v>
      </c>
      <c r="N28" s="219">
        <v>12</v>
      </c>
      <c r="O28" s="220">
        <v>592249</v>
      </c>
      <c r="P28" s="219">
        <v>13</v>
      </c>
      <c r="Q28" s="220">
        <v>768866</v>
      </c>
      <c r="R28" s="219">
        <v>14</v>
      </c>
      <c r="S28" s="220">
        <v>1585008</v>
      </c>
      <c r="T28" s="219">
        <v>15</v>
      </c>
      <c r="U28" s="220">
        <v>2232191</v>
      </c>
      <c r="V28" s="219">
        <v>16</v>
      </c>
      <c r="W28" s="220">
        <v>954850</v>
      </c>
      <c r="X28" s="219">
        <v>17</v>
      </c>
      <c r="Y28" s="220">
        <v>778983</v>
      </c>
      <c r="Z28" s="219"/>
      <c r="AA28" s="220"/>
      <c r="AB28" s="219"/>
      <c r="AC28" s="230"/>
      <c r="AD28" s="219"/>
      <c r="AE28" s="220"/>
    </row>
    <row r="29" ht="15.75" customHeight="1">
      <c r="A29" s="96"/>
      <c r="B29" s="12">
        <v>26</v>
      </c>
      <c r="C29" s="73" t="s">
        <v>379</v>
      </c>
      <c r="D29" s="217" t="s">
        <v>301</v>
      </c>
      <c r="E29" s="226">
        <v>44222</v>
      </c>
      <c r="F29" s="12" t="s">
        <v>381</v>
      </c>
      <c r="G29" s="200"/>
      <c r="H29" s="219">
        <v>17</v>
      </c>
      <c r="I29" s="220">
        <v>127032</v>
      </c>
      <c r="J29" s="219">
        <f t="shared" si="231"/>
        <v>18</v>
      </c>
      <c r="K29" s="220">
        <v>130585</v>
      </c>
      <c r="L29" s="221">
        <f t="shared" si="232"/>
        <v>19</v>
      </c>
      <c r="M29" s="222">
        <v>199749</v>
      </c>
      <c r="N29" s="219">
        <v>20</v>
      </c>
      <c r="O29" s="220">
        <v>595847</v>
      </c>
      <c r="P29" s="219">
        <v>21</v>
      </c>
      <c r="Q29" s="220">
        <v>885579</v>
      </c>
      <c r="R29" s="219">
        <v>22</v>
      </c>
      <c r="S29" s="220">
        <v>698530</v>
      </c>
      <c r="T29" s="219">
        <v>23</v>
      </c>
      <c r="U29" s="220">
        <v>813930</v>
      </c>
      <c r="V29" s="219">
        <v>23</v>
      </c>
      <c r="W29" s="220">
        <v>532505</v>
      </c>
      <c r="X29" s="219">
        <v>24</v>
      </c>
      <c r="Y29" s="220">
        <v>391971</v>
      </c>
      <c r="Z29" s="219"/>
      <c r="AA29" s="220"/>
      <c r="AB29" s="219"/>
      <c r="AC29" s="230"/>
      <c r="AD29" s="219"/>
      <c r="AE29" s="220"/>
    </row>
    <row r="30" ht="15.75" customHeight="1">
      <c r="A30" s="197"/>
      <c r="B30" s="12">
        <v>27</v>
      </c>
      <c r="C30" s="73" t="s">
        <v>384</v>
      </c>
      <c r="D30" s="217" t="s">
        <v>238</v>
      </c>
      <c r="E30" s="226">
        <v>44743</v>
      </c>
      <c r="F30" s="12" t="s">
        <v>381</v>
      </c>
      <c r="G30" s="200"/>
      <c r="H30" s="223"/>
      <c r="I30" s="224"/>
      <c r="J30" s="223"/>
      <c r="K30" s="224"/>
      <c r="L30" s="221">
        <v>1</v>
      </c>
      <c r="M30" s="222">
        <v>89927</v>
      </c>
      <c r="N30" s="219">
        <v>2</v>
      </c>
      <c r="O30" s="220">
        <v>178920</v>
      </c>
      <c r="P30" s="219">
        <v>3</v>
      </c>
      <c r="Q30" s="220">
        <v>167872</v>
      </c>
      <c r="R30" s="219">
        <v>4</v>
      </c>
      <c r="S30" s="220">
        <v>282835</v>
      </c>
      <c r="T30" s="219">
        <v>5</v>
      </c>
      <c r="U30" s="220">
        <v>476782</v>
      </c>
      <c r="V30" s="219">
        <v>6</v>
      </c>
      <c r="W30" s="220">
        <v>400126</v>
      </c>
      <c r="X30" s="219">
        <v>7</v>
      </c>
      <c r="Y30" s="220">
        <v>435584</v>
      </c>
      <c r="Z30" s="219"/>
      <c r="AA30" s="220"/>
      <c r="AB30" s="219"/>
      <c r="AC30" s="230"/>
      <c r="AD30" s="219"/>
      <c r="AE30" s="220"/>
    </row>
    <row r="31" ht="15.75" customHeight="1">
      <c r="A31" s="96"/>
      <c r="B31" s="198">
        <v>28</v>
      </c>
      <c r="C31" s="235" t="s">
        <v>379</v>
      </c>
      <c r="D31" s="217" t="s">
        <v>303</v>
      </c>
      <c r="E31" s="226">
        <v>44741</v>
      </c>
      <c r="F31" s="227">
        <v>44834</v>
      </c>
      <c r="G31" s="200">
        <v>3</v>
      </c>
      <c r="H31" s="223"/>
      <c r="I31" s="224"/>
      <c r="J31" s="219">
        <v>1</v>
      </c>
      <c r="K31" s="220">
        <v>0</v>
      </c>
      <c r="L31" s="221">
        <v>2</v>
      </c>
      <c r="M31" s="222">
        <v>0</v>
      </c>
      <c r="N31" s="219">
        <v>3</v>
      </c>
      <c r="O31" s="220">
        <v>78238</v>
      </c>
      <c r="P31" s="223"/>
      <c r="Q31" s="224"/>
      <c r="R31" s="223"/>
      <c r="S31" s="224"/>
      <c r="T31" s="223"/>
      <c r="U31" s="224"/>
      <c r="V31" s="223"/>
      <c r="W31" s="224"/>
      <c r="X31" s="223"/>
      <c r="Y31" s="224"/>
      <c r="Z31" s="223"/>
      <c r="AA31" s="224"/>
      <c r="AB31" s="223"/>
      <c r="AC31" s="225"/>
      <c r="AD31" s="223"/>
      <c r="AE31" s="224"/>
    </row>
    <row r="32" ht="15.75" customHeight="1">
      <c r="A32" s="197"/>
      <c r="B32" s="12">
        <v>29</v>
      </c>
      <c r="C32" s="235" t="s">
        <v>374</v>
      </c>
      <c r="D32" s="217" t="s">
        <v>285</v>
      </c>
      <c r="E32" s="226">
        <v>44685</v>
      </c>
      <c r="F32" s="12" t="s">
        <v>381</v>
      </c>
      <c r="G32" s="200"/>
      <c r="H32" s="219">
        <v>2</v>
      </c>
      <c r="I32" s="220">
        <v>0</v>
      </c>
      <c r="J32" s="219">
        <f t="shared" si="231"/>
        <v>3</v>
      </c>
      <c r="K32" s="220">
        <v>0</v>
      </c>
      <c r="L32" s="221">
        <f t="shared" si="232"/>
        <v>4</v>
      </c>
      <c r="M32" s="222">
        <v>29873</v>
      </c>
      <c r="N32" s="219">
        <v>5</v>
      </c>
      <c r="O32" s="220">
        <v>44006</v>
      </c>
      <c r="P32" s="219">
        <v>6</v>
      </c>
      <c r="Q32" s="220">
        <v>903437</v>
      </c>
      <c r="R32" s="219">
        <v>7</v>
      </c>
      <c r="S32" s="220">
        <v>931399</v>
      </c>
      <c r="T32" s="219">
        <v>8</v>
      </c>
      <c r="U32" s="220">
        <v>368272</v>
      </c>
      <c r="V32" s="219">
        <v>9</v>
      </c>
      <c r="W32" s="220">
        <v>544536</v>
      </c>
      <c r="X32" s="219">
        <v>10</v>
      </c>
      <c r="Y32" s="220">
        <v>381485</v>
      </c>
      <c r="Z32" s="219"/>
      <c r="AA32" s="220"/>
      <c r="AB32" s="219"/>
      <c r="AC32" s="230"/>
      <c r="AD32" s="219"/>
      <c r="AE32" s="220"/>
    </row>
    <row r="33" ht="15.75" customHeight="1">
      <c r="A33" s="96"/>
      <c r="B33" s="12">
        <v>30</v>
      </c>
      <c r="C33" s="73" t="s">
        <v>376</v>
      </c>
      <c r="D33" s="217" t="s">
        <v>316</v>
      </c>
      <c r="E33" s="226">
        <v>44762</v>
      </c>
      <c r="F33" s="227">
        <v>44809</v>
      </c>
      <c r="G33" s="200">
        <v>1</v>
      </c>
      <c r="H33" s="223"/>
      <c r="I33" s="224"/>
      <c r="J33" s="223"/>
      <c r="K33" s="224"/>
      <c r="L33" s="221">
        <v>1</v>
      </c>
      <c r="M33" s="222">
        <v>0</v>
      </c>
      <c r="N33" s="223"/>
      <c r="O33" s="224"/>
      <c r="P33" s="223"/>
      <c r="Q33" s="224"/>
      <c r="R33" s="223"/>
      <c r="S33" s="224"/>
      <c r="T33" s="223"/>
      <c r="U33" s="224"/>
      <c r="V33" s="223"/>
      <c r="W33" s="224"/>
      <c r="X33" s="223"/>
      <c r="Y33" s="224"/>
      <c r="Z33" s="223"/>
      <c r="AA33" s="224"/>
      <c r="AB33" s="223"/>
      <c r="AC33" s="225"/>
      <c r="AD33" s="223"/>
      <c r="AE33" s="224"/>
    </row>
    <row r="34" ht="15.75" customHeight="1">
      <c r="A34" s="96"/>
      <c r="B34" s="198">
        <v>31</v>
      </c>
      <c r="C34" s="73" t="s">
        <v>376</v>
      </c>
      <c r="D34" s="217" t="s">
        <v>318</v>
      </c>
      <c r="E34" s="226">
        <v>44425</v>
      </c>
      <c r="F34" s="12" t="s">
        <v>381</v>
      </c>
      <c r="G34" s="200"/>
      <c r="H34" s="219">
        <v>10</v>
      </c>
      <c r="I34" s="220">
        <v>28784</v>
      </c>
      <c r="J34" s="219">
        <f t="shared" si="231"/>
        <v>11</v>
      </c>
      <c r="K34" s="220">
        <v>34096</v>
      </c>
      <c r="L34" s="221">
        <f t="shared" si="232"/>
        <v>12</v>
      </c>
      <c r="M34" s="222">
        <v>102371</v>
      </c>
      <c r="N34" s="219">
        <v>13</v>
      </c>
      <c r="O34" s="220">
        <v>161108</v>
      </c>
      <c r="P34" s="219">
        <v>14</v>
      </c>
      <c r="Q34" s="220">
        <v>316341</v>
      </c>
      <c r="R34" s="219">
        <v>15</v>
      </c>
      <c r="S34" s="220">
        <v>355039</v>
      </c>
      <c r="T34" s="219">
        <v>16</v>
      </c>
      <c r="U34" s="220">
        <v>402781</v>
      </c>
      <c r="V34" s="219">
        <v>17</v>
      </c>
      <c r="W34" s="220">
        <v>258215</v>
      </c>
      <c r="X34" s="219">
        <v>18</v>
      </c>
      <c r="Y34" s="220">
        <v>290696</v>
      </c>
      <c r="Z34" s="219"/>
      <c r="AA34" s="220"/>
      <c r="AB34" s="219"/>
      <c r="AC34" s="230"/>
      <c r="AD34" s="219"/>
      <c r="AE34" s="220"/>
    </row>
    <row r="35" ht="15.75" customHeight="1">
      <c r="A35" s="197"/>
      <c r="B35" s="12">
        <v>32</v>
      </c>
      <c r="C35" s="235" t="s">
        <v>377</v>
      </c>
      <c r="D35" s="217" t="s">
        <v>255</v>
      </c>
      <c r="E35" s="218">
        <v>44854</v>
      </c>
      <c r="F35" s="227">
        <v>44974</v>
      </c>
      <c r="G35" s="200">
        <v>4</v>
      </c>
      <c r="H35" s="223"/>
      <c r="I35" s="224"/>
      <c r="J35" s="223"/>
      <c r="K35" s="224"/>
      <c r="L35" s="228"/>
      <c r="M35" s="229"/>
      <c r="N35" s="223"/>
      <c r="O35" s="224"/>
      <c r="P35" s="223"/>
      <c r="Q35" s="224"/>
      <c r="R35" s="219">
        <v>1</v>
      </c>
      <c r="S35" s="220">
        <v>0</v>
      </c>
      <c r="T35" s="219">
        <v>2</v>
      </c>
      <c r="U35" s="220">
        <v>32256</v>
      </c>
      <c r="V35" s="219">
        <v>3</v>
      </c>
      <c r="W35" s="220">
        <v>0</v>
      </c>
      <c r="X35" s="219">
        <v>4</v>
      </c>
      <c r="Y35" s="220">
        <v>0</v>
      </c>
      <c r="Z35" s="223"/>
      <c r="AA35" s="224"/>
      <c r="AB35" s="223"/>
      <c r="AC35" s="225"/>
      <c r="AD35" s="223"/>
      <c r="AE35" s="224"/>
    </row>
    <row r="36" ht="15.75" customHeight="1">
      <c r="A36" s="96"/>
      <c r="B36" s="12">
        <v>33</v>
      </c>
      <c r="C36" s="231" t="s">
        <v>377</v>
      </c>
      <c r="D36" s="217" t="s">
        <v>266</v>
      </c>
      <c r="E36" s="226">
        <v>44964</v>
      </c>
      <c r="F36" s="227">
        <v>45016</v>
      </c>
      <c r="G36" s="200">
        <v>2</v>
      </c>
      <c r="H36" s="223"/>
      <c r="I36" s="224"/>
      <c r="J36" s="223"/>
      <c r="K36" s="224"/>
      <c r="L36" s="228"/>
      <c r="M36" s="229"/>
      <c r="N36" s="223"/>
      <c r="O36" s="224"/>
      <c r="P36" s="223"/>
      <c r="Q36" s="224"/>
      <c r="R36" s="223"/>
      <c r="S36" s="224"/>
      <c r="T36" s="223"/>
      <c r="U36" s="224"/>
      <c r="V36" s="223"/>
      <c r="W36" s="224"/>
      <c r="X36" s="219">
        <v>1</v>
      </c>
      <c r="Y36" s="220">
        <v>0</v>
      </c>
      <c r="Z36" s="219">
        <v>2</v>
      </c>
      <c r="AA36" s="220"/>
      <c r="AB36" s="223"/>
      <c r="AC36" s="225"/>
      <c r="AD36" s="223"/>
      <c r="AE36" s="224"/>
    </row>
    <row r="37" ht="15.75" customHeight="1">
      <c r="A37" s="197"/>
      <c r="B37" s="198">
        <v>34</v>
      </c>
      <c r="C37" s="231" t="s">
        <v>379</v>
      </c>
      <c r="D37" s="217" t="s">
        <v>304</v>
      </c>
      <c r="E37" s="226">
        <v>44952</v>
      </c>
      <c r="F37" s="227">
        <v>45007</v>
      </c>
      <c r="G37" s="200">
        <v>2</v>
      </c>
      <c r="H37" s="223"/>
      <c r="I37" s="224"/>
      <c r="J37" s="223"/>
      <c r="K37" s="224"/>
      <c r="L37" s="228"/>
      <c r="M37" s="229"/>
      <c r="N37" s="223"/>
      <c r="O37" s="224"/>
      <c r="P37" s="223"/>
      <c r="Q37" s="224"/>
      <c r="R37" s="223"/>
      <c r="S37" s="224"/>
      <c r="T37" s="223"/>
      <c r="U37" s="224"/>
      <c r="V37" s="223"/>
      <c r="W37" s="224"/>
      <c r="X37" s="219">
        <v>1</v>
      </c>
      <c r="Y37" s="220">
        <v>0</v>
      </c>
      <c r="Z37" s="219">
        <v>2</v>
      </c>
      <c r="AA37" s="220"/>
      <c r="AB37" s="219"/>
      <c r="AC37" s="225"/>
      <c r="AD37" s="223"/>
      <c r="AE37" s="224"/>
    </row>
    <row r="38" ht="15.75" customHeight="1">
      <c r="A38" s="96"/>
      <c r="B38" s="12">
        <v>35</v>
      </c>
      <c r="C38" s="73" t="s">
        <v>382</v>
      </c>
      <c r="D38" s="217" t="s">
        <v>343</v>
      </c>
      <c r="E38" s="218">
        <v>43444</v>
      </c>
      <c r="F38" s="12" t="s">
        <v>381</v>
      </c>
      <c r="G38" s="200"/>
      <c r="H38" s="219">
        <v>40</v>
      </c>
      <c r="I38" s="220">
        <v>128367</v>
      </c>
      <c r="J38" s="219">
        <v>41</v>
      </c>
      <c r="K38" s="220">
        <v>128592</v>
      </c>
      <c r="L38" s="221">
        <v>42</v>
      </c>
      <c r="M38" s="222">
        <v>162507</v>
      </c>
      <c r="N38" s="219">
        <v>43</v>
      </c>
      <c r="O38" s="220">
        <v>38805</v>
      </c>
      <c r="P38" s="219">
        <v>44</v>
      </c>
      <c r="Q38" s="220">
        <v>63245</v>
      </c>
      <c r="R38" s="219">
        <v>45</v>
      </c>
      <c r="S38" s="220">
        <v>121523</v>
      </c>
      <c r="T38" s="219">
        <v>46</v>
      </c>
      <c r="U38" s="220">
        <v>231005</v>
      </c>
      <c r="V38" s="219">
        <v>47</v>
      </c>
      <c r="W38" s="220">
        <v>193274</v>
      </c>
      <c r="X38" s="219">
        <v>48</v>
      </c>
      <c r="Y38" s="220">
        <v>237000</v>
      </c>
      <c r="Z38" s="219"/>
      <c r="AA38" s="220"/>
      <c r="AB38" s="219"/>
      <c r="AC38" s="230"/>
      <c r="AD38" s="219"/>
      <c r="AE38" s="220"/>
    </row>
    <row r="39" ht="15.75" customHeight="1">
      <c r="A39" s="197"/>
      <c r="B39" s="12">
        <v>36</v>
      </c>
      <c r="C39" s="73" t="s">
        <v>379</v>
      </c>
      <c r="D39" s="232" t="s">
        <v>305</v>
      </c>
      <c r="E39" s="226">
        <v>44743</v>
      </c>
      <c r="F39" s="12" t="s">
        <v>381</v>
      </c>
      <c r="G39" s="200"/>
      <c r="H39" s="223"/>
      <c r="I39" s="224"/>
      <c r="J39" s="219">
        <v>1</v>
      </c>
      <c r="K39" s="220">
        <v>0</v>
      </c>
      <c r="L39" s="221">
        <v>2</v>
      </c>
      <c r="M39" s="222">
        <v>0</v>
      </c>
      <c r="N39" s="219">
        <v>3</v>
      </c>
      <c r="O39" s="220">
        <v>564813</v>
      </c>
      <c r="P39" s="219">
        <v>4</v>
      </c>
      <c r="Q39" s="220">
        <v>6309443</v>
      </c>
      <c r="R39" s="219">
        <v>5</v>
      </c>
      <c r="S39" s="220">
        <v>279878</v>
      </c>
      <c r="T39" s="219">
        <v>6</v>
      </c>
      <c r="U39" s="220">
        <v>368272</v>
      </c>
      <c r="V39" s="219">
        <v>7</v>
      </c>
      <c r="W39" s="220">
        <v>1653832</v>
      </c>
      <c r="X39" s="219">
        <v>8</v>
      </c>
      <c r="Y39" s="220">
        <v>3424777</v>
      </c>
      <c r="Z39" s="219"/>
      <c r="AA39" s="220"/>
      <c r="AB39" s="219"/>
      <c r="AC39" s="230"/>
      <c r="AD39" s="219"/>
      <c r="AE39" s="220"/>
    </row>
    <row r="40" ht="15.75" customHeight="1">
      <c r="A40" s="96"/>
      <c r="B40" s="198">
        <v>37</v>
      </c>
      <c r="C40" s="235" t="s">
        <v>379</v>
      </c>
      <c r="D40" s="217" t="s">
        <v>306</v>
      </c>
      <c r="E40" s="226">
        <v>44874</v>
      </c>
      <c r="F40" s="12" t="s">
        <v>375</v>
      </c>
      <c r="G40" s="200"/>
      <c r="H40" s="223"/>
      <c r="I40" s="224"/>
      <c r="J40" s="223"/>
      <c r="K40" s="224"/>
      <c r="L40" s="228"/>
      <c r="M40" s="229"/>
      <c r="N40" s="223"/>
      <c r="O40" s="224"/>
      <c r="P40" s="223"/>
      <c r="Q40" s="224"/>
      <c r="R40" s="219">
        <v>1</v>
      </c>
      <c r="S40" s="220">
        <v>0</v>
      </c>
      <c r="T40" s="219">
        <v>2</v>
      </c>
      <c r="U40" s="220">
        <v>173458</v>
      </c>
      <c r="V40" s="219">
        <v>3</v>
      </c>
      <c r="W40" s="220">
        <v>28546</v>
      </c>
      <c r="X40" s="219">
        <v>4</v>
      </c>
      <c r="Y40" s="220">
        <v>52136</v>
      </c>
      <c r="Z40" s="219"/>
      <c r="AA40" s="220"/>
      <c r="AB40" s="219"/>
      <c r="AC40" s="230"/>
      <c r="AD40" s="219"/>
      <c r="AE40" s="220"/>
    </row>
    <row r="41" ht="15.75" customHeight="1">
      <c r="A41" s="197"/>
      <c r="B41" s="12">
        <v>38</v>
      </c>
      <c r="C41" s="73" t="s">
        <v>377</v>
      </c>
      <c r="D41" s="217" t="s">
        <v>257</v>
      </c>
      <c r="E41" s="226">
        <v>44562</v>
      </c>
      <c r="F41" s="227">
        <v>44813</v>
      </c>
      <c r="G41" s="200">
        <v>9</v>
      </c>
      <c r="H41" s="219">
        <v>6</v>
      </c>
      <c r="I41" s="220">
        <v>101508</v>
      </c>
      <c r="J41" s="219">
        <f t="shared" si="231"/>
        <v>7</v>
      </c>
      <c r="K41" s="220">
        <v>132790</v>
      </c>
      <c r="L41" s="221">
        <f t="shared" si="232"/>
        <v>8</v>
      </c>
      <c r="M41" s="222">
        <v>179254</v>
      </c>
      <c r="N41" s="219">
        <v>9</v>
      </c>
      <c r="O41" s="220">
        <v>169694</v>
      </c>
      <c r="P41" s="223"/>
      <c r="Q41" s="224"/>
      <c r="R41" s="223"/>
      <c r="S41" s="224"/>
      <c r="T41" s="223"/>
      <c r="U41" s="224"/>
      <c r="V41" s="223"/>
      <c r="W41" s="224"/>
      <c r="X41" s="223"/>
      <c r="Y41" s="224"/>
      <c r="Z41" s="223"/>
      <c r="AA41" s="224"/>
      <c r="AB41" s="223"/>
      <c r="AC41" s="225"/>
      <c r="AD41" s="223"/>
      <c r="AE41" s="224"/>
    </row>
    <row r="42" ht="15.75" customHeight="1">
      <c r="A42" s="96"/>
      <c r="B42" s="12">
        <v>39</v>
      </c>
      <c r="C42" s="231" t="s">
        <v>377</v>
      </c>
      <c r="D42" s="217" t="s">
        <v>252</v>
      </c>
      <c r="E42" s="226">
        <v>44972</v>
      </c>
      <c r="F42" s="12" t="s">
        <v>381</v>
      </c>
      <c r="G42" s="200"/>
      <c r="H42" s="223"/>
      <c r="I42" s="224"/>
      <c r="J42" s="223"/>
      <c r="K42" s="224"/>
      <c r="L42" s="228"/>
      <c r="M42" s="229"/>
      <c r="N42" s="223"/>
      <c r="O42" s="224"/>
      <c r="P42" s="223"/>
      <c r="Q42" s="224"/>
      <c r="R42" s="223"/>
      <c r="S42" s="224"/>
      <c r="T42" s="223"/>
      <c r="U42" s="224"/>
      <c r="V42" s="223"/>
      <c r="W42" s="224"/>
      <c r="X42" s="223"/>
      <c r="Y42" s="224"/>
      <c r="Z42" s="219">
        <v>1</v>
      </c>
      <c r="AA42" s="220"/>
      <c r="AB42" s="219"/>
      <c r="AC42" s="230"/>
      <c r="AD42" s="219"/>
      <c r="AE42" s="220"/>
    </row>
    <row r="43" ht="15.75" customHeight="1">
      <c r="A43" s="197"/>
      <c r="B43" s="198">
        <v>40</v>
      </c>
      <c r="C43" s="235" t="s">
        <v>377</v>
      </c>
      <c r="D43" s="217" t="s">
        <v>388</v>
      </c>
      <c r="E43" s="226">
        <v>44826</v>
      </c>
      <c r="F43" s="12" t="s">
        <v>381</v>
      </c>
      <c r="G43" s="200"/>
      <c r="H43" s="223"/>
      <c r="I43" s="224"/>
      <c r="J43" s="223"/>
      <c r="K43" s="224"/>
      <c r="L43" s="228"/>
      <c r="M43" s="229"/>
      <c r="N43" s="223"/>
      <c r="O43" s="224"/>
      <c r="P43" s="219">
        <v>1</v>
      </c>
      <c r="Q43" s="220">
        <v>0</v>
      </c>
      <c r="R43" s="219">
        <v>2</v>
      </c>
      <c r="S43" s="220">
        <v>52520</v>
      </c>
      <c r="T43" s="219">
        <v>3</v>
      </c>
      <c r="U43" s="220">
        <v>75226</v>
      </c>
      <c r="V43" s="219">
        <v>4</v>
      </c>
      <c r="W43" s="220">
        <v>75195</v>
      </c>
      <c r="X43" s="219">
        <v>5</v>
      </c>
      <c r="Y43" s="220">
        <v>76074</v>
      </c>
      <c r="Z43" s="219"/>
      <c r="AA43" s="220"/>
      <c r="AB43" s="219"/>
      <c r="AC43" s="230"/>
      <c r="AD43" s="219"/>
      <c r="AE43" s="220"/>
    </row>
    <row r="44" ht="15.75" customHeight="1">
      <c r="A44" s="96"/>
      <c r="B44" s="12">
        <v>41</v>
      </c>
      <c r="C44" s="73" t="s">
        <v>382</v>
      </c>
      <c r="D44" s="217" t="s">
        <v>344</v>
      </c>
      <c r="E44" s="226">
        <v>44279</v>
      </c>
      <c r="F44" s="12" t="s">
        <v>381</v>
      </c>
      <c r="G44" s="200"/>
      <c r="H44" s="219">
        <v>16</v>
      </c>
      <c r="I44" s="220">
        <v>97583</v>
      </c>
      <c r="J44" s="219">
        <f t="shared" si="231"/>
        <v>17</v>
      </c>
      <c r="K44" s="220">
        <v>82458</v>
      </c>
      <c r="L44" s="221">
        <f t="shared" si="232"/>
        <v>18</v>
      </c>
      <c r="M44" s="222">
        <v>146545</v>
      </c>
      <c r="N44" s="219">
        <v>19</v>
      </c>
      <c r="O44" s="220">
        <v>150390</v>
      </c>
      <c r="P44" s="219">
        <v>20</v>
      </c>
      <c r="Q44" s="220">
        <v>256414</v>
      </c>
      <c r="R44" s="219">
        <v>21</v>
      </c>
      <c r="S44" s="220">
        <v>112530</v>
      </c>
      <c r="T44" s="219">
        <v>22</v>
      </c>
      <c r="U44" s="220">
        <v>263776</v>
      </c>
      <c r="V44" s="219">
        <v>23</v>
      </c>
      <c r="W44" s="220">
        <v>75686</v>
      </c>
      <c r="X44" s="219">
        <v>24</v>
      </c>
      <c r="Y44" s="220">
        <v>49050</v>
      </c>
      <c r="Z44" s="219"/>
      <c r="AA44" s="220"/>
      <c r="AB44" s="219"/>
      <c r="AC44" s="230"/>
      <c r="AD44" s="219"/>
      <c r="AE44" s="220"/>
    </row>
    <row r="45" ht="15.75" customHeight="1">
      <c r="A45" s="197"/>
      <c r="B45" s="12">
        <v>42</v>
      </c>
      <c r="C45" s="73" t="s">
        <v>374</v>
      </c>
      <c r="D45" s="217" t="s">
        <v>293</v>
      </c>
      <c r="E45" s="226">
        <v>44454</v>
      </c>
      <c r="F45" s="12" t="s">
        <v>381</v>
      </c>
      <c r="G45" s="200"/>
      <c r="H45" s="219">
        <v>9</v>
      </c>
      <c r="I45" s="220">
        <v>36246</v>
      </c>
      <c r="J45" s="219">
        <f t="shared" si="231"/>
        <v>10</v>
      </c>
      <c r="K45" s="220">
        <v>101212</v>
      </c>
      <c r="L45" s="221">
        <f t="shared" si="232"/>
        <v>11</v>
      </c>
      <c r="M45" s="222">
        <v>171655</v>
      </c>
      <c r="N45" s="219">
        <v>12</v>
      </c>
      <c r="O45" s="220">
        <v>165832</v>
      </c>
      <c r="P45" s="219">
        <v>13</v>
      </c>
      <c r="Q45" s="220">
        <v>353310</v>
      </c>
      <c r="R45" s="219">
        <v>14</v>
      </c>
      <c r="S45" s="220">
        <v>362449</v>
      </c>
      <c r="T45" s="219">
        <v>15</v>
      </c>
      <c r="U45" s="220">
        <v>414914</v>
      </c>
      <c r="V45" s="219">
        <v>16</v>
      </c>
      <c r="W45" s="220">
        <v>97225</v>
      </c>
      <c r="X45" s="219">
        <v>17</v>
      </c>
      <c r="Y45" s="220">
        <v>98201</v>
      </c>
      <c r="Z45" s="219"/>
      <c r="AA45" s="220"/>
      <c r="AB45" s="219"/>
      <c r="AC45" s="230"/>
      <c r="AD45" s="219"/>
      <c r="AE45" s="220"/>
    </row>
    <row r="46" ht="15.75" customHeight="1">
      <c r="A46" s="96"/>
      <c r="B46" s="198">
        <v>43</v>
      </c>
      <c r="C46" s="235" t="s">
        <v>374</v>
      </c>
      <c r="D46" s="217" t="s">
        <v>276</v>
      </c>
      <c r="E46" s="226">
        <v>44096</v>
      </c>
      <c r="F46" s="227">
        <v>44834</v>
      </c>
      <c r="G46" s="200">
        <v>24</v>
      </c>
      <c r="H46" s="219">
        <v>22</v>
      </c>
      <c r="I46" s="220">
        <v>82697</v>
      </c>
      <c r="J46" s="223"/>
      <c r="K46" s="224"/>
      <c r="L46" s="228"/>
      <c r="M46" s="229"/>
      <c r="N46" s="223"/>
      <c r="O46" s="224"/>
      <c r="P46" s="223"/>
      <c r="Q46" s="224"/>
      <c r="R46" s="223"/>
      <c r="S46" s="224"/>
      <c r="T46" s="223"/>
      <c r="U46" s="224"/>
      <c r="V46" s="223"/>
      <c r="W46" s="224"/>
      <c r="X46" s="223"/>
      <c r="Y46" s="224"/>
      <c r="Z46" s="223"/>
      <c r="AA46" s="224"/>
      <c r="AB46" s="223"/>
      <c r="AC46" s="225"/>
      <c r="AD46" s="223"/>
      <c r="AE46" s="224"/>
    </row>
    <row r="47" ht="15.75" customHeight="1">
      <c r="A47" s="197"/>
      <c r="B47" s="12">
        <v>44</v>
      </c>
      <c r="C47" s="231" t="s">
        <v>379</v>
      </c>
      <c r="D47" s="217" t="s">
        <v>310</v>
      </c>
      <c r="E47" s="226">
        <v>44985</v>
      </c>
      <c r="F47" s="12" t="s">
        <v>381</v>
      </c>
      <c r="G47" s="200"/>
      <c r="H47" s="223"/>
      <c r="I47" s="224"/>
      <c r="J47" s="223"/>
      <c r="K47" s="224"/>
      <c r="L47" s="228"/>
      <c r="M47" s="229"/>
      <c r="N47" s="223"/>
      <c r="O47" s="224"/>
      <c r="P47" s="223"/>
      <c r="Q47" s="224"/>
      <c r="R47" s="223"/>
      <c r="S47" s="224"/>
      <c r="T47" s="223"/>
      <c r="U47" s="224"/>
      <c r="V47" s="223"/>
      <c r="W47" s="224"/>
      <c r="X47" s="223"/>
      <c r="Y47" s="224"/>
      <c r="Z47" s="219">
        <v>1</v>
      </c>
      <c r="AA47" s="220"/>
      <c r="AB47" s="219"/>
      <c r="AC47" s="230"/>
      <c r="AD47" s="219"/>
      <c r="AE47" s="220"/>
    </row>
    <row r="48" ht="15.75" customHeight="1">
      <c r="A48" s="96"/>
      <c r="B48" s="12">
        <v>45</v>
      </c>
      <c r="C48" s="73" t="s">
        <v>376</v>
      </c>
      <c r="D48" s="217" t="s">
        <v>314</v>
      </c>
      <c r="E48" s="218">
        <v>44517</v>
      </c>
      <c r="F48" s="227">
        <v>45015</v>
      </c>
      <c r="G48" s="200">
        <v>4</v>
      </c>
      <c r="H48" s="219">
        <v>7</v>
      </c>
      <c r="I48" s="220">
        <v>469421</v>
      </c>
      <c r="J48" s="219">
        <f t="shared" si="231"/>
        <v>8</v>
      </c>
      <c r="K48" s="220">
        <v>488376</v>
      </c>
      <c r="L48" s="221">
        <f t="shared" si="232"/>
        <v>9</v>
      </c>
      <c r="M48" s="222">
        <v>370156</v>
      </c>
      <c r="N48" s="219">
        <v>10</v>
      </c>
      <c r="O48" s="220">
        <v>469644</v>
      </c>
      <c r="P48" s="219">
        <v>11</v>
      </c>
      <c r="Q48" s="220">
        <v>448071</v>
      </c>
      <c r="R48" s="219">
        <v>12</v>
      </c>
      <c r="S48" s="220">
        <v>632890</v>
      </c>
      <c r="T48" s="219">
        <v>13</v>
      </c>
      <c r="U48" s="220">
        <v>186105</v>
      </c>
      <c r="V48" s="219">
        <v>14</v>
      </c>
      <c r="W48" s="220">
        <v>38682</v>
      </c>
      <c r="X48" s="219">
        <v>15</v>
      </c>
      <c r="Y48" s="220">
        <v>46330</v>
      </c>
      <c r="Z48" s="219"/>
      <c r="AA48" s="220"/>
      <c r="AB48" s="223"/>
      <c r="AC48" s="225"/>
      <c r="AD48" s="223"/>
      <c r="AE48" s="224"/>
    </row>
    <row r="49" ht="15.75" customHeight="1">
      <c r="A49" s="197"/>
      <c r="B49" s="12">
        <v>46</v>
      </c>
      <c r="C49" s="231" t="s">
        <v>379</v>
      </c>
      <c r="D49" s="217" t="s">
        <v>389</v>
      </c>
      <c r="E49" s="218"/>
      <c r="F49" s="227"/>
      <c r="G49" s="200"/>
      <c r="H49" s="223"/>
      <c r="I49" s="224"/>
      <c r="J49" s="223"/>
      <c r="K49" s="224"/>
      <c r="L49" s="228"/>
      <c r="M49" s="229"/>
      <c r="N49" s="223"/>
      <c r="O49" s="224"/>
      <c r="P49" s="223"/>
      <c r="Q49" s="224"/>
      <c r="R49" s="223"/>
      <c r="S49" s="224"/>
      <c r="T49" s="223"/>
      <c r="U49" s="224"/>
      <c r="V49" s="223"/>
      <c r="W49" s="224"/>
      <c r="X49" s="223"/>
      <c r="Y49" s="224"/>
      <c r="Z49" s="219"/>
      <c r="AA49" s="220"/>
      <c r="AB49" s="223"/>
      <c r="AC49" s="225"/>
      <c r="AD49" s="223"/>
      <c r="AE49" s="224"/>
    </row>
    <row r="50" ht="15.75" customHeight="1">
      <c r="A50" s="197"/>
      <c r="B50" s="198">
        <v>47</v>
      </c>
      <c r="C50" s="235" t="s">
        <v>377</v>
      </c>
      <c r="D50" s="217" t="s">
        <v>259</v>
      </c>
      <c r="E50" s="218">
        <v>44858</v>
      </c>
      <c r="F50" s="227">
        <v>45016</v>
      </c>
      <c r="G50" s="200">
        <v>5</v>
      </c>
      <c r="H50" s="223"/>
      <c r="I50" s="224"/>
      <c r="J50" s="223"/>
      <c r="K50" s="224"/>
      <c r="L50" s="228"/>
      <c r="M50" s="229"/>
      <c r="N50" s="223"/>
      <c r="O50" s="224"/>
      <c r="P50" s="223"/>
      <c r="Q50" s="224"/>
      <c r="R50" s="219">
        <v>1</v>
      </c>
      <c r="S50" s="220">
        <v>0</v>
      </c>
      <c r="T50" s="219">
        <v>2</v>
      </c>
      <c r="U50" s="220">
        <v>47019</v>
      </c>
      <c r="V50" s="219">
        <v>3</v>
      </c>
      <c r="W50" s="220">
        <v>110194</v>
      </c>
      <c r="X50" s="219">
        <v>3</v>
      </c>
      <c r="Y50" s="220">
        <v>108023</v>
      </c>
      <c r="Z50" s="219"/>
      <c r="AA50" s="220"/>
      <c r="AB50" s="223"/>
      <c r="AC50" s="225"/>
      <c r="AD50" s="223"/>
      <c r="AE50" s="224"/>
    </row>
    <row r="51" ht="15.75" customHeight="1">
      <c r="A51" s="96"/>
      <c r="B51" s="12">
        <v>48</v>
      </c>
      <c r="C51" s="235" t="s">
        <v>377</v>
      </c>
      <c r="D51" s="217" t="s">
        <v>261</v>
      </c>
      <c r="E51" s="226">
        <v>44823</v>
      </c>
      <c r="F51" s="234">
        <v>45241</v>
      </c>
      <c r="G51" s="200">
        <v>3</v>
      </c>
      <c r="H51" s="223"/>
      <c r="I51" s="224"/>
      <c r="J51" s="223"/>
      <c r="K51" s="224"/>
      <c r="L51" s="228"/>
      <c r="M51" s="229"/>
      <c r="N51" s="223"/>
      <c r="O51" s="224"/>
      <c r="P51" s="219">
        <v>1</v>
      </c>
      <c r="Q51" s="220">
        <v>0</v>
      </c>
      <c r="R51" s="219">
        <v>2</v>
      </c>
      <c r="S51" s="220">
        <v>0</v>
      </c>
      <c r="T51" s="223"/>
      <c r="U51" s="224"/>
      <c r="V51" s="223"/>
      <c r="W51" s="224"/>
      <c r="X51" s="223"/>
      <c r="Y51" s="224"/>
      <c r="Z51" s="223"/>
      <c r="AA51" s="224"/>
      <c r="AB51" s="223"/>
      <c r="AC51" s="225"/>
      <c r="AD51" s="223"/>
      <c r="AE51" s="224"/>
    </row>
    <row r="52" ht="15.75" customHeight="1">
      <c r="A52" s="96"/>
      <c r="B52" s="12">
        <v>49</v>
      </c>
      <c r="C52" s="235" t="s">
        <v>377</v>
      </c>
      <c r="D52" s="217" t="s">
        <v>262</v>
      </c>
      <c r="E52" s="226">
        <v>44992</v>
      </c>
      <c r="F52" s="12" t="s">
        <v>375</v>
      </c>
      <c r="G52" s="200"/>
      <c r="H52" s="223"/>
      <c r="I52" s="224"/>
      <c r="J52" s="223"/>
      <c r="K52" s="224"/>
      <c r="L52" s="228"/>
      <c r="M52" s="229"/>
      <c r="N52" s="223"/>
      <c r="O52" s="224"/>
      <c r="P52" s="223"/>
      <c r="Q52" s="224"/>
      <c r="R52" s="223"/>
      <c r="S52" s="224"/>
      <c r="T52" s="223"/>
      <c r="U52" s="224"/>
      <c r="V52" s="223"/>
      <c r="W52" s="224"/>
      <c r="X52" s="223"/>
      <c r="Y52" s="224"/>
      <c r="Z52" s="219">
        <v>1</v>
      </c>
      <c r="AA52" s="220"/>
      <c r="AB52" s="219"/>
      <c r="AC52" s="230"/>
      <c r="AD52" s="219"/>
      <c r="AE52" s="220"/>
    </row>
    <row r="53" ht="15.75" customHeight="1">
      <c r="A53" s="96"/>
      <c r="B53" s="12">
        <v>50</v>
      </c>
      <c r="C53" s="73" t="s">
        <v>384</v>
      </c>
      <c r="D53" s="217" t="s">
        <v>239</v>
      </c>
      <c r="E53" s="226">
        <v>44594</v>
      </c>
      <c r="F53" s="12" t="s">
        <v>381</v>
      </c>
      <c r="G53" s="200"/>
      <c r="H53" s="219">
        <v>4</v>
      </c>
      <c r="I53" s="220">
        <v>158818</v>
      </c>
      <c r="J53" s="219">
        <v>5</v>
      </c>
      <c r="K53" s="220">
        <v>256526</v>
      </c>
      <c r="L53" s="221">
        <v>6</v>
      </c>
      <c r="M53" s="222">
        <v>537550</v>
      </c>
      <c r="N53" s="219">
        <v>7</v>
      </c>
      <c r="O53" s="220">
        <v>482681</v>
      </c>
      <c r="P53" s="219">
        <v>8</v>
      </c>
      <c r="Q53" s="220">
        <v>541748</v>
      </c>
      <c r="R53" s="219">
        <v>9</v>
      </c>
      <c r="S53" s="220">
        <v>843762</v>
      </c>
      <c r="T53" s="219">
        <v>10</v>
      </c>
      <c r="U53" s="220">
        <v>1693711</v>
      </c>
      <c r="V53" s="219">
        <v>11</v>
      </c>
      <c r="W53" s="220">
        <v>383410</v>
      </c>
      <c r="X53" s="219">
        <v>12</v>
      </c>
      <c r="Y53" s="220">
        <v>576294</v>
      </c>
      <c r="Z53" s="219"/>
      <c r="AA53" s="220"/>
      <c r="AB53" s="219"/>
      <c r="AC53" s="230"/>
      <c r="AD53" s="219"/>
      <c r="AE53" s="220"/>
    </row>
    <row r="54" ht="15.75" customHeight="1">
      <c r="A54" s="197"/>
      <c r="B54" s="198">
        <v>51</v>
      </c>
      <c r="C54" s="231" t="s">
        <v>377</v>
      </c>
      <c r="D54" s="217" t="s">
        <v>264</v>
      </c>
      <c r="E54" s="226">
        <v>45005</v>
      </c>
      <c r="F54" s="12" t="s">
        <v>375</v>
      </c>
      <c r="G54" s="200"/>
      <c r="H54" s="223"/>
      <c r="I54" s="224"/>
      <c r="J54" s="223"/>
      <c r="K54" s="224"/>
      <c r="L54" s="228"/>
      <c r="M54" s="229"/>
      <c r="N54" s="223"/>
      <c r="O54" s="224"/>
      <c r="P54" s="223"/>
      <c r="Q54" s="224"/>
      <c r="R54" s="223"/>
      <c r="S54" s="224"/>
      <c r="T54" s="223"/>
      <c r="U54" s="224"/>
      <c r="V54" s="223"/>
      <c r="W54" s="224"/>
      <c r="X54" s="223"/>
      <c r="Y54" s="224"/>
      <c r="Z54" s="223"/>
      <c r="AA54" s="224"/>
      <c r="AB54" s="223">
        <v>1</v>
      </c>
      <c r="AC54" s="230"/>
      <c r="AD54" s="219">
        <v>2</v>
      </c>
      <c r="AE54" s="220"/>
    </row>
    <row r="55" ht="15.75" customHeight="1">
      <c r="A55" s="96"/>
      <c r="B55" s="12">
        <v>52</v>
      </c>
      <c r="C55" s="231" t="s">
        <v>390</v>
      </c>
      <c r="D55" s="217" t="s">
        <v>330</v>
      </c>
      <c r="E55" s="226">
        <v>44936</v>
      </c>
      <c r="F55" s="12" t="s">
        <v>375</v>
      </c>
      <c r="G55" s="200"/>
      <c r="H55" s="223"/>
      <c r="I55" s="224"/>
      <c r="J55" s="223"/>
      <c r="K55" s="224"/>
      <c r="L55" s="228"/>
      <c r="M55" s="229"/>
      <c r="N55" s="223"/>
      <c r="O55" s="224"/>
      <c r="P55" s="223"/>
      <c r="Q55" s="224"/>
      <c r="R55" s="223"/>
      <c r="S55" s="224"/>
      <c r="T55" s="223"/>
      <c r="U55" s="224"/>
      <c r="V55" s="219">
        <v>1</v>
      </c>
      <c r="W55" s="220">
        <v>0</v>
      </c>
      <c r="X55" s="219">
        <v>2</v>
      </c>
      <c r="Y55" s="220">
        <v>0</v>
      </c>
      <c r="Z55" s="219">
        <v>3</v>
      </c>
      <c r="AA55" s="220"/>
      <c r="AB55" s="219"/>
      <c r="AC55" s="230"/>
      <c r="AD55" s="219"/>
      <c r="AE55" s="220"/>
    </row>
    <row r="56" ht="15.75" customHeight="1">
      <c r="A56" s="197"/>
      <c r="B56" s="12">
        <v>53</v>
      </c>
      <c r="C56" s="235" t="s">
        <v>377</v>
      </c>
      <c r="D56" s="217" t="s">
        <v>391</v>
      </c>
      <c r="E56" s="226">
        <v>44363</v>
      </c>
      <c r="F56" s="227">
        <v>44759</v>
      </c>
      <c r="G56" s="200">
        <v>13</v>
      </c>
      <c r="H56" s="219">
        <v>12</v>
      </c>
      <c r="I56" s="220">
        <v>157319</v>
      </c>
      <c r="J56" s="223"/>
      <c r="K56" s="224"/>
      <c r="L56" s="228"/>
      <c r="M56" s="229"/>
      <c r="N56" s="223"/>
      <c r="O56" s="224"/>
      <c r="P56" s="223"/>
      <c r="Q56" s="224"/>
      <c r="R56" s="223"/>
      <c r="S56" s="224"/>
      <c r="T56" s="223"/>
      <c r="U56" s="224"/>
      <c r="V56" s="223"/>
      <c r="W56" s="224"/>
      <c r="X56" s="223"/>
      <c r="Y56" s="224"/>
      <c r="Z56" s="223"/>
      <c r="AA56" s="224"/>
      <c r="AB56" s="223"/>
      <c r="AC56" s="225"/>
      <c r="AD56" s="223"/>
      <c r="AE56" s="224"/>
    </row>
    <row r="57" ht="15.75" customHeight="1">
      <c r="A57" s="96"/>
      <c r="B57" s="12">
        <v>54</v>
      </c>
      <c r="C57" s="235" t="s">
        <v>384</v>
      </c>
      <c r="D57" s="217" t="s">
        <v>240</v>
      </c>
      <c r="E57" s="226">
        <v>44452</v>
      </c>
      <c r="F57" s="227">
        <v>44747</v>
      </c>
      <c r="G57" s="200">
        <v>10</v>
      </c>
      <c r="H57" s="219">
        <v>9</v>
      </c>
      <c r="I57" s="220">
        <v>227338</v>
      </c>
      <c r="J57" s="223"/>
      <c r="K57" s="224"/>
      <c r="L57" s="228"/>
      <c r="M57" s="229"/>
      <c r="N57" s="223"/>
      <c r="O57" s="224"/>
      <c r="P57" s="223"/>
      <c r="Q57" s="224"/>
      <c r="R57" s="223"/>
      <c r="S57" s="224"/>
      <c r="T57" s="223"/>
      <c r="U57" s="224"/>
      <c r="V57" s="223"/>
      <c r="W57" s="224"/>
      <c r="X57" s="223"/>
      <c r="Y57" s="224"/>
      <c r="Z57" s="223"/>
      <c r="AA57" s="224"/>
      <c r="AB57" s="223"/>
      <c r="AC57" s="225"/>
      <c r="AD57" s="223"/>
      <c r="AE57" s="224"/>
    </row>
    <row r="58" ht="15.75" customHeight="1">
      <c r="A58" s="197"/>
      <c r="B58" s="198">
        <v>55</v>
      </c>
      <c r="C58" s="235" t="s">
        <v>390</v>
      </c>
      <c r="D58" s="217" t="s">
        <v>333</v>
      </c>
      <c r="E58" s="226">
        <v>44405</v>
      </c>
      <c r="F58" s="227">
        <v>44748</v>
      </c>
      <c r="G58" s="200">
        <v>12</v>
      </c>
      <c r="H58" s="219">
        <v>11</v>
      </c>
      <c r="I58" s="220">
        <v>48700</v>
      </c>
      <c r="J58" s="223"/>
      <c r="K58" s="224"/>
      <c r="L58" s="228"/>
      <c r="M58" s="229"/>
      <c r="N58" s="223"/>
      <c r="O58" s="224"/>
      <c r="P58" s="236"/>
      <c r="Q58" s="224"/>
      <c r="R58" s="223"/>
      <c r="S58" s="224"/>
      <c r="T58" s="236"/>
      <c r="U58" s="224"/>
      <c r="V58" s="223"/>
      <c r="W58" s="224"/>
      <c r="X58" s="223"/>
      <c r="Y58" s="224"/>
      <c r="Z58" s="223"/>
      <c r="AA58" s="224"/>
      <c r="AB58" s="223"/>
      <c r="AC58" s="225"/>
      <c r="AD58" s="223"/>
      <c r="AE58" s="224"/>
    </row>
    <row r="59" ht="15.75" customHeight="1">
      <c r="D59" s="1" t="s">
        <v>392</v>
      </c>
      <c r="F59" s="96"/>
      <c r="H59" s="237">
        <v>26</v>
      </c>
      <c r="I59" s="238"/>
      <c r="J59" s="237">
        <v>24</v>
      </c>
      <c r="K59" s="239"/>
      <c r="L59" s="237">
        <v>26</v>
      </c>
      <c r="M59" s="96"/>
      <c r="N59" s="237">
        <v>23</v>
      </c>
      <c r="O59" s="240"/>
      <c r="P59" s="237">
        <v>22</v>
      </c>
      <c r="Q59" s="238"/>
      <c r="R59" s="237">
        <v>27</v>
      </c>
      <c r="S59" s="238"/>
      <c r="T59" s="237">
        <v>27</v>
      </c>
      <c r="U59" s="238"/>
      <c r="V59" s="237">
        <v>27</v>
      </c>
      <c r="W59" s="238"/>
      <c r="X59" s="237">
        <v>29</v>
      </c>
      <c r="Y59" s="238"/>
      <c r="Z59" s="241"/>
      <c r="AA59" s="238"/>
      <c r="AB59" s="241"/>
      <c r="AC59" s="242"/>
      <c r="AD59" s="241"/>
      <c r="AE59" s="238"/>
    </row>
    <row r="60" ht="15.75" customHeight="1">
      <c r="A60" s="105"/>
      <c r="B60" s="105" t="s">
        <v>393</v>
      </c>
      <c r="C60" s="105"/>
      <c r="D60" s="105"/>
      <c r="E60" s="105"/>
      <c r="F60" s="243"/>
      <c r="G60" s="105"/>
      <c r="H60" s="244"/>
      <c r="I60" s="245"/>
      <c r="J60" s="244"/>
      <c r="K60" s="246"/>
      <c r="L60" s="247"/>
      <c r="M60" s="243"/>
      <c r="N60" s="244"/>
      <c r="O60" s="240"/>
      <c r="P60" s="244"/>
      <c r="Q60" s="245"/>
      <c r="R60" s="244"/>
      <c r="S60" s="245"/>
      <c r="T60" s="244"/>
      <c r="U60" s="245"/>
      <c r="V60" s="244"/>
      <c r="W60" s="245"/>
      <c r="X60" s="244"/>
      <c r="Y60" s="245"/>
      <c r="Z60" s="244"/>
      <c r="AA60" s="245"/>
      <c r="AB60" s="244"/>
      <c r="AC60" s="247"/>
      <c r="AD60" s="244"/>
      <c r="AE60" s="245"/>
    </row>
    <row r="61" ht="15.75" customHeight="1">
      <c r="A61" s="248"/>
      <c r="B61" s="248" t="s">
        <v>394</v>
      </c>
      <c r="C61" s="105"/>
      <c r="D61" s="105"/>
      <c r="E61" s="105"/>
      <c r="F61" s="243"/>
      <c r="G61" s="105"/>
      <c r="H61" s="249" t="s">
        <v>395</v>
      </c>
      <c r="I61" s="250" t="s">
        <v>396</v>
      </c>
      <c r="J61" s="251" t="s">
        <v>395</v>
      </c>
      <c r="K61" s="252" t="s">
        <v>396</v>
      </c>
      <c r="L61" s="249" t="s">
        <v>395</v>
      </c>
      <c r="M61" s="240" t="s">
        <v>397</v>
      </c>
      <c r="N61" s="251" t="s">
        <v>398</v>
      </c>
      <c r="O61" s="252" t="s">
        <v>396</v>
      </c>
      <c r="P61" s="249" t="s">
        <v>207</v>
      </c>
      <c r="Q61" s="250" t="s">
        <v>399</v>
      </c>
      <c r="R61" s="251" t="s">
        <v>400</v>
      </c>
      <c r="S61" s="253" t="s">
        <v>396</v>
      </c>
      <c r="T61" s="249" t="s">
        <v>401</v>
      </c>
      <c r="U61" s="250" t="s">
        <v>396</v>
      </c>
      <c r="V61" s="251" t="s">
        <v>395</v>
      </c>
      <c r="W61" s="253" t="s">
        <v>396</v>
      </c>
      <c r="X61" s="249" t="s">
        <v>402</v>
      </c>
      <c r="Y61" s="250" t="s">
        <v>396</v>
      </c>
      <c r="Z61" s="251"/>
      <c r="AA61" s="254"/>
      <c r="AB61" s="251"/>
      <c r="AC61" s="255"/>
      <c r="AD61" s="251"/>
      <c r="AE61" s="254"/>
    </row>
    <row r="62" ht="15.75" customHeight="1">
      <c r="A62" s="248"/>
      <c r="B62" s="248" t="s">
        <v>403</v>
      </c>
      <c r="C62" s="105"/>
      <c r="D62" s="105"/>
      <c r="E62" s="105"/>
      <c r="F62" s="243"/>
      <c r="G62" s="105"/>
      <c r="H62" s="249" t="s">
        <v>404</v>
      </c>
      <c r="I62" s="250" t="s">
        <v>396</v>
      </c>
      <c r="J62" s="251" t="s">
        <v>395</v>
      </c>
      <c r="K62" s="252" t="s">
        <v>405</v>
      </c>
      <c r="L62" s="249" t="s">
        <v>395</v>
      </c>
      <c r="M62" s="240" t="s">
        <v>396</v>
      </c>
      <c r="N62" s="251" t="s">
        <v>406</v>
      </c>
      <c r="O62" s="252" t="s">
        <v>407</v>
      </c>
      <c r="P62" s="249" t="s">
        <v>398</v>
      </c>
      <c r="Q62" s="250" t="s">
        <v>396</v>
      </c>
      <c r="R62" s="251" t="s">
        <v>208</v>
      </c>
      <c r="S62" s="253" t="s">
        <v>408</v>
      </c>
      <c r="T62" s="249" t="s">
        <v>409</v>
      </c>
      <c r="U62" s="250" t="s">
        <v>410</v>
      </c>
      <c r="V62" s="251" t="s">
        <v>406</v>
      </c>
      <c r="W62" s="253" t="s">
        <v>411</v>
      </c>
      <c r="X62" s="249" t="s">
        <v>406</v>
      </c>
      <c r="Y62" s="250" t="s">
        <v>396</v>
      </c>
      <c r="Z62" s="251"/>
      <c r="AA62" s="254"/>
      <c r="AB62" s="251"/>
      <c r="AC62" s="255"/>
      <c r="AD62" s="251"/>
      <c r="AE62" s="254"/>
    </row>
    <row r="63" ht="15.75" customHeight="1">
      <c r="A63" s="248"/>
      <c r="B63" s="248" t="s">
        <v>412</v>
      </c>
      <c r="C63" s="105"/>
      <c r="D63" s="105"/>
      <c r="E63" s="105"/>
      <c r="F63" s="243"/>
      <c r="G63" s="105"/>
      <c r="H63" s="249" t="s">
        <v>404</v>
      </c>
      <c r="I63" s="250" t="s">
        <v>396</v>
      </c>
      <c r="J63" s="251" t="s">
        <v>406</v>
      </c>
      <c r="K63" s="252">
        <v>0</v>
      </c>
      <c r="L63" s="249" t="s">
        <v>395</v>
      </c>
      <c r="M63" s="240" t="s">
        <v>413</v>
      </c>
      <c r="N63" s="251" t="s">
        <v>395</v>
      </c>
      <c r="O63" s="253" t="s">
        <v>414</v>
      </c>
      <c r="P63" s="249" t="s">
        <v>406</v>
      </c>
      <c r="Q63" s="250" t="s">
        <v>415</v>
      </c>
      <c r="R63" s="251" t="s">
        <v>398</v>
      </c>
      <c r="S63" s="253" t="s">
        <v>396</v>
      </c>
      <c r="T63" s="249" t="s">
        <v>204</v>
      </c>
      <c r="U63" s="250" t="s">
        <v>416</v>
      </c>
      <c r="V63" s="251" t="s">
        <v>207</v>
      </c>
      <c r="W63" s="253" t="s">
        <v>417</v>
      </c>
      <c r="X63" s="249" t="s">
        <v>395</v>
      </c>
      <c r="Y63" s="250" t="s">
        <v>418</v>
      </c>
      <c r="Z63" s="251"/>
      <c r="AA63" s="254"/>
      <c r="AB63" s="251"/>
      <c r="AC63" s="255"/>
      <c r="AD63" s="251"/>
      <c r="AE63" s="254"/>
    </row>
    <row r="64" ht="15.75" customHeight="1">
      <c r="A64" s="248"/>
      <c r="B64" s="248" t="s">
        <v>419</v>
      </c>
      <c r="C64" s="105"/>
      <c r="D64" s="105"/>
      <c r="E64" s="105"/>
      <c r="F64" s="243"/>
      <c r="G64" s="105"/>
      <c r="H64" s="249" t="s">
        <v>420</v>
      </c>
      <c r="I64" s="250" t="s">
        <v>421</v>
      </c>
      <c r="J64" s="251" t="s">
        <v>406</v>
      </c>
      <c r="K64" s="252" t="s">
        <v>422</v>
      </c>
      <c r="L64" s="249" t="s">
        <v>406</v>
      </c>
      <c r="M64" s="240" t="s">
        <v>423</v>
      </c>
      <c r="N64" s="251" t="s">
        <v>395</v>
      </c>
      <c r="O64" s="253" t="s">
        <v>424</v>
      </c>
      <c r="P64" s="249" t="s">
        <v>406</v>
      </c>
      <c r="Q64" s="250" t="s">
        <v>396</v>
      </c>
      <c r="R64" s="251" t="s">
        <v>406</v>
      </c>
      <c r="S64" s="253" t="s">
        <v>425</v>
      </c>
      <c r="T64" s="249" t="s">
        <v>398</v>
      </c>
      <c r="U64" s="250" t="s">
        <v>396</v>
      </c>
      <c r="V64" s="251" t="s">
        <v>208</v>
      </c>
      <c r="W64" s="253" t="s">
        <v>426</v>
      </c>
      <c r="X64" s="249" t="s">
        <v>402</v>
      </c>
      <c r="Y64" s="250" t="s">
        <v>427</v>
      </c>
      <c r="Z64" s="251"/>
      <c r="AA64" s="254"/>
      <c r="AB64" s="251"/>
      <c r="AC64" s="255"/>
      <c r="AD64" s="251"/>
      <c r="AE64" s="254"/>
    </row>
    <row r="65" ht="15.75" customHeight="1">
      <c r="A65" s="248"/>
      <c r="B65" s="248" t="s">
        <v>428</v>
      </c>
      <c r="C65" s="105"/>
      <c r="D65" s="105"/>
      <c r="E65" s="105"/>
      <c r="F65" s="243"/>
      <c r="G65" s="105"/>
      <c r="H65" s="249">
        <v>0</v>
      </c>
      <c r="I65" s="250">
        <v>0</v>
      </c>
      <c r="J65" s="251" t="s">
        <v>429</v>
      </c>
      <c r="K65" s="252" t="s">
        <v>430</v>
      </c>
      <c r="L65" s="249" t="s">
        <v>406</v>
      </c>
      <c r="M65" s="240" t="s">
        <v>431</v>
      </c>
      <c r="N65" s="251" t="s">
        <v>406</v>
      </c>
      <c r="O65" s="253" t="s">
        <v>432</v>
      </c>
      <c r="P65" s="249" t="s">
        <v>395</v>
      </c>
      <c r="Q65" s="250" t="s">
        <v>433</v>
      </c>
      <c r="R65" s="251" t="s">
        <v>406</v>
      </c>
      <c r="S65" s="253" t="s">
        <v>425</v>
      </c>
      <c r="T65" s="249" t="s">
        <v>406</v>
      </c>
      <c r="U65" s="250" t="s">
        <v>434</v>
      </c>
      <c r="V65" s="251" t="s">
        <v>398</v>
      </c>
      <c r="W65" s="253" t="s">
        <v>396</v>
      </c>
      <c r="X65" s="249" t="s">
        <v>208</v>
      </c>
      <c r="Y65" s="250" t="s">
        <v>435</v>
      </c>
      <c r="Z65" s="251"/>
      <c r="AA65" s="254"/>
      <c r="AB65" s="251"/>
      <c r="AC65" s="255"/>
      <c r="AD65" s="251"/>
      <c r="AE65" s="254"/>
    </row>
    <row r="66" ht="15.75" customHeight="1">
      <c r="A66" s="248"/>
      <c r="B66" s="248" t="s">
        <v>436</v>
      </c>
      <c r="C66" s="105"/>
      <c r="D66" s="105"/>
      <c r="E66" s="105"/>
      <c r="F66" s="243"/>
      <c r="G66" s="105"/>
      <c r="H66" s="249" t="s">
        <v>404</v>
      </c>
      <c r="I66" s="250" t="s">
        <v>437</v>
      </c>
      <c r="J66" s="251">
        <v>0</v>
      </c>
      <c r="K66" s="252" t="s">
        <v>396</v>
      </c>
      <c r="L66" s="249" t="s">
        <v>395</v>
      </c>
      <c r="M66" s="240" t="s">
        <v>438</v>
      </c>
      <c r="N66" s="251" t="s">
        <v>406</v>
      </c>
      <c r="O66" s="253" t="s">
        <v>439</v>
      </c>
      <c r="P66" s="249" t="s">
        <v>406</v>
      </c>
      <c r="Q66" s="250" t="s">
        <v>440</v>
      </c>
      <c r="R66" s="251" t="s">
        <v>406</v>
      </c>
      <c r="S66" s="253" t="s">
        <v>441</v>
      </c>
      <c r="T66" s="249" t="s">
        <v>406</v>
      </c>
      <c r="U66" s="250" t="s">
        <v>442</v>
      </c>
      <c r="V66" s="251" t="s">
        <v>406</v>
      </c>
      <c r="W66" s="253" t="s">
        <v>443</v>
      </c>
      <c r="X66" s="249" t="s">
        <v>398</v>
      </c>
      <c r="Y66" s="250" t="s">
        <v>396</v>
      </c>
      <c r="Z66" s="251"/>
      <c r="AA66" s="254"/>
      <c r="AB66" s="251"/>
      <c r="AC66" s="255"/>
      <c r="AD66" s="251"/>
      <c r="AE66" s="254"/>
    </row>
    <row r="67" ht="15.75" customHeight="1">
      <c r="F67" s="96"/>
      <c r="H67" s="241"/>
      <c r="I67" s="238"/>
      <c r="J67" s="241"/>
      <c r="K67" s="239"/>
      <c r="N67" s="241"/>
      <c r="O67" s="238"/>
      <c r="P67" s="241"/>
      <c r="Q67" s="238"/>
      <c r="R67" s="241"/>
      <c r="S67" s="238"/>
      <c r="T67" s="241"/>
      <c r="U67" s="238"/>
      <c r="V67" s="241"/>
      <c r="W67" s="238"/>
      <c r="X67" s="241"/>
      <c r="Y67" s="238"/>
      <c r="Z67" s="241"/>
      <c r="AA67" s="238"/>
      <c r="AB67" s="241"/>
      <c r="AC67" s="242"/>
      <c r="AD67" s="241"/>
      <c r="AE67" s="238"/>
    </row>
    <row r="68" ht="15.75" customHeight="1">
      <c r="A68" s="256" t="s">
        <v>444</v>
      </c>
      <c r="C68" s="1"/>
      <c r="F68" s="96"/>
      <c r="H68" s="241"/>
      <c r="I68" s="238"/>
      <c r="J68" s="241"/>
      <c r="K68" s="239"/>
      <c r="N68" s="241"/>
      <c r="O68" s="238"/>
      <c r="P68" s="241"/>
      <c r="Q68" s="238"/>
      <c r="R68" s="241"/>
      <c r="S68" s="238"/>
      <c r="T68" s="241"/>
      <c r="U68" s="238"/>
      <c r="V68" s="241"/>
      <c r="W68" s="238"/>
      <c r="X68" s="241"/>
      <c r="Y68" s="238"/>
      <c r="Z68" s="241"/>
      <c r="AA68" s="238"/>
      <c r="AB68" s="241"/>
      <c r="AC68" s="242"/>
      <c r="AD68" s="241"/>
      <c r="AE68" s="238"/>
    </row>
    <row r="69" ht="15.75" customHeight="1">
      <c r="A69" s="256" t="s">
        <v>445</v>
      </c>
      <c r="B69" s="248" t="s">
        <v>446</v>
      </c>
      <c r="F69" s="96"/>
      <c r="H69" s="249">
        <v>8</v>
      </c>
      <c r="I69" s="257">
        <f>H69/H59</f>
        <v>0.30769230769230771</v>
      </c>
      <c r="J69" s="251">
        <v>9</v>
      </c>
      <c r="K69" s="258">
        <f>J69/J59</f>
        <v>0.375</v>
      </c>
      <c r="L69" s="249">
        <v>6</v>
      </c>
      <c r="M69" s="257">
        <f>L69/L59</f>
        <v>0.23076923076923078</v>
      </c>
      <c r="N69" s="251">
        <v>2</v>
      </c>
      <c r="O69" s="258">
        <f>N69/N59</f>
        <v>0.086956521739130432</v>
      </c>
      <c r="P69" s="249">
        <v>4</v>
      </c>
      <c r="Q69" s="257">
        <f>P69/P59</f>
        <v>0.18181818181818182</v>
      </c>
      <c r="R69" s="251">
        <v>9</v>
      </c>
      <c r="S69" s="258">
        <f>R69/R59</f>
        <v>0.33333333333333331</v>
      </c>
      <c r="T69" s="249">
        <v>7</v>
      </c>
      <c r="U69" s="257">
        <f>T69/T59</f>
        <v>0.25925925925925924</v>
      </c>
      <c r="V69" s="251">
        <v>8</v>
      </c>
      <c r="W69" s="258">
        <f>V69/V59</f>
        <v>0.29629629629629628</v>
      </c>
      <c r="X69" s="249">
        <v>9</v>
      </c>
      <c r="Y69" s="257">
        <f>X69/X59</f>
        <v>0.31034482758620691</v>
      </c>
      <c r="Z69" s="249"/>
      <c r="AA69" s="250" t="e">
        <f>Z69/Z59</f>
        <v>#DIV/0!</v>
      </c>
      <c r="AB69" s="249"/>
      <c r="AC69" s="255"/>
      <c r="AD69" s="249"/>
      <c r="AE69" s="250" t="e">
        <f>AD69/AD59</f>
        <v>#DIV/0!</v>
      </c>
    </row>
    <row r="70" ht="15.75" customHeight="1">
      <c r="A70" s="256" t="s">
        <v>447</v>
      </c>
      <c r="B70" s="248" t="s">
        <v>448</v>
      </c>
      <c r="F70" s="96"/>
      <c r="H70" s="249">
        <v>3</v>
      </c>
      <c r="I70" s="257">
        <f>H70/H59</f>
        <v>0.11538461538461539</v>
      </c>
      <c r="J70" s="251">
        <v>2</v>
      </c>
      <c r="K70" s="258">
        <f>J70/J7</f>
        <v>0.20000000000000001</v>
      </c>
      <c r="L70" s="249">
        <v>3</v>
      </c>
      <c r="M70" s="257">
        <f>L70/L59</f>
        <v>0.11538461538461539</v>
      </c>
      <c r="N70" s="251">
        <v>1</v>
      </c>
      <c r="O70" s="258">
        <f>N70/N59</f>
        <v>0.043478260869565216</v>
      </c>
      <c r="P70" s="249">
        <v>1</v>
      </c>
      <c r="Q70" s="257">
        <f>P70/P59</f>
        <v>0.045454545454545456</v>
      </c>
      <c r="R70" s="251">
        <v>1</v>
      </c>
      <c r="S70" s="258">
        <f>R70/R59</f>
        <v>0.037037037037037035</v>
      </c>
      <c r="T70" s="249">
        <v>1</v>
      </c>
      <c r="U70" s="257">
        <f>T70/T59</f>
        <v>0.037037037037037035</v>
      </c>
      <c r="V70" s="251">
        <v>4</v>
      </c>
      <c r="W70" s="258">
        <f>V70/V59</f>
        <v>0.14814814814814814</v>
      </c>
      <c r="X70" s="249">
        <v>4</v>
      </c>
      <c r="Y70" s="257">
        <f>X70/X59</f>
        <v>0.13793103448275862</v>
      </c>
      <c r="Z70" s="249"/>
      <c r="AA70" s="250" t="e">
        <f>Z70/Z59</f>
        <v>#DIV/0!</v>
      </c>
      <c r="AB70" s="249"/>
      <c r="AC70" s="255"/>
      <c r="AD70" s="249"/>
      <c r="AE70" s="250" t="e">
        <f>AD70/AD59</f>
        <v>#DIV/0!</v>
      </c>
    </row>
    <row r="71" ht="15.75" customHeight="1">
      <c r="A71" s="256" t="s">
        <v>449</v>
      </c>
      <c r="B71" s="248" t="s">
        <v>450</v>
      </c>
      <c r="F71" s="96"/>
      <c r="H71" s="249">
        <v>7</v>
      </c>
      <c r="I71" s="257">
        <f>H71/H59</f>
        <v>0.26923076923076922</v>
      </c>
      <c r="J71" s="251">
        <v>7</v>
      </c>
      <c r="K71" s="258">
        <f>J71/J59</f>
        <v>0.29166666666666669</v>
      </c>
      <c r="L71" s="249">
        <v>11</v>
      </c>
      <c r="M71" s="257">
        <f>L71/L59</f>
        <v>0.42307692307692307</v>
      </c>
      <c r="N71" s="251">
        <v>7</v>
      </c>
      <c r="O71" s="258">
        <f>N71/N59</f>
        <v>0.30434782608695654</v>
      </c>
      <c r="P71" s="249">
        <v>4</v>
      </c>
      <c r="Q71" s="257">
        <f>P71/P59</f>
        <v>0.18181818181818182</v>
      </c>
      <c r="R71" s="251">
        <v>3</v>
      </c>
      <c r="S71" s="258">
        <f>R71/R59</f>
        <v>0.1111111111111111</v>
      </c>
      <c r="T71" s="249">
        <v>4</v>
      </c>
      <c r="U71" s="257">
        <f>T71/T59</f>
        <v>0.14814814814814814</v>
      </c>
      <c r="V71" s="251">
        <v>3</v>
      </c>
      <c r="W71" s="258">
        <f>V71/V59</f>
        <v>0.1111111111111111</v>
      </c>
      <c r="X71" s="249">
        <v>2</v>
      </c>
      <c r="Y71" s="257">
        <f>X71/X59</f>
        <v>0.068965517241379309</v>
      </c>
      <c r="Z71" s="249"/>
      <c r="AA71" s="250" t="e">
        <f>Z71/Z59</f>
        <v>#DIV/0!</v>
      </c>
      <c r="AB71" s="249"/>
      <c r="AC71" s="255"/>
      <c r="AD71" s="249"/>
      <c r="AE71" s="250" t="e">
        <f>AD71/AD59</f>
        <v>#DIV/0!</v>
      </c>
    </row>
    <row r="72" ht="15.75" customHeight="1">
      <c r="A72" s="256" t="s">
        <v>451</v>
      </c>
      <c r="B72" s="248" t="s">
        <v>452</v>
      </c>
      <c r="F72" s="96"/>
      <c r="H72" s="249">
        <v>7</v>
      </c>
      <c r="I72" s="257">
        <f>H72/H59</f>
        <v>0.26923076923076922</v>
      </c>
      <c r="J72" s="251">
        <v>4</v>
      </c>
      <c r="K72" s="258">
        <f>J72/J59</f>
        <v>0.16666666666666666</v>
      </c>
      <c r="L72" s="249">
        <v>2</v>
      </c>
      <c r="M72" s="257">
        <f>L72/L59</f>
        <v>0.076923076923076927</v>
      </c>
      <c r="N72" s="251">
        <v>4</v>
      </c>
      <c r="O72" s="258">
        <f>N72/N59</f>
        <v>0.17391304347826086</v>
      </c>
      <c r="P72" s="249">
        <v>1</v>
      </c>
      <c r="Q72" s="257">
        <f>P72/P59</f>
        <v>0.045454545454545456</v>
      </c>
      <c r="R72" s="251">
        <v>2</v>
      </c>
      <c r="S72" s="258">
        <f>R72/R59</f>
        <v>0.07407407407407407</v>
      </c>
      <c r="T72" s="249">
        <v>2</v>
      </c>
      <c r="U72" s="257">
        <f>T72/T59</f>
        <v>0.07407407407407407</v>
      </c>
      <c r="V72" s="251">
        <v>1</v>
      </c>
      <c r="W72" s="258">
        <f>V72/V59</f>
        <v>0.037037037037037035</v>
      </c>
      <c r="X72" s="249">
        <v>3</v>
      </c>
      <c r="Y72" s="257">
        <f>X72/X59</f>
        <v>0.10344827586206896</v>
      </c>
      <c r="Z72" s="249"/>
      <c r="AA72" s="250" t="e">
        <f>Z72/Z59</f>
        <v>#DIV/0!</v>
      </c>
      <c r="AB72" s="249"/>
      <c r="AC72" s="255"/>
      <c r="AD72" s="249"/>
      <c r="AE72" s="250" t="e">
        <f>AD72/AD59</f>
        <v>#DIV/0!</v>
      </c>
    </row>
    <row r="73" ht="15.75" customHeight="1">
      <c r="A73" s="256" t="s">
        <v>453</v>
      </c>
      <c r="B73" s="248" t="s">
        <v>454</v>
      </c>
      <c r="F73" s="96"/>
      <c r="H73" s="249">
        <v>1</v>
      </c>
      <c r="I73" s="257">
        <f>H73/H59</f>
        <v>0.038461538461538464</v>
      </c>
      <c r="J73" s="251">
        <v>3</v>
      </c>
      <c r="K73" s="258">
        <f>J73/J59</f>
        <v>0.125</v>
      </c>
      <c r="L73" s="249">
        <v>2</v>
      </c>
      <c r="M73" s="257">
        <f>L73/L59</f>
        <v>0.076923076923076927</v>
      </c>
      <c r="N73" s="251">
        <v>4</v>
      </c>
      <c r="O73" s="258">
        <f>N73/N59</f>
        <v>0.17391304347826086</v>
      </c>
      <c r="P73" s="249">
        <v>5</v>
      </c>
      <c r="Q73" s="257">
        <f>P73/P59</f>
        <v>0.22727272727272727</v>
      </c>
      <c r="R73" s="251">
        <v>2</v>
      </c>
      <c r="S73" s="258">
        <f>R73/R59</f>
        <v>0.07407407407407407</v>
      </c>
      <c r="T73" s="249">
        <v>5</v>
      </c>
      <c r="U73" s="257">
        <f>T73/T59</f>
        <v>0.18518518518518517</v>
      </c>
      <c r="V73" s="251">
        <v>4</v>
      </c>
      <c r="W73" s="258">
        <f>V73/V59</f>
        <v>0.14814814814814814</v>
      </c>
      <c r="X73" s="249">
        <v>5</v>
      </c>
      <c r="Y73" s="257">
        <f>X73/X59</f>
        <v>0.17241379310344829</v>
      </c>
      <c r="Z73" s="249"/>
      <c r="AA73" s="250" t="e">
        <f>Z73/Z59</f>
        <v>#DIV/0!</v>
      </c>
      <c r="AB73" s="249"/>
      <c r="AC73" s="255"/>
      <c r="AD73" s="249"/>
      <c r="AE73" s="250" t="e">
        <f>AD73/AD59</f>
        <v>#DIV/0!</v>
      </c>
    </row>
    <row r="74" ht="15.75" customHeight="1">
      <c r="A74" s="256" t="s">
        <v>455</v>
      </c>
      <c r="B74" s="248" t="s">
        <v>456</v>
      </c>
      <c r="F74" s="96"/>
      <c r="H74" s="249">
        <v>0</v>
      </c>
      <c r="I74" s="257">
        <f>H74/H59</f>
        <v>0</v>
      </c>
      <c r="J74" s="251">
        <v>0</v>
      </c>
      <c r="K74" s="258">
        <f>J74/J59</f>
        <v>0</v>
      </c>
      <c r="L74" s="249">
        <v>2</v>
      </c>
      <c r="M74" s="257">
        <f>L74/L59</f>
        <v>0.076923076923076927</v>
      </c>
      <c r="N74" s="251">
        <v>5</v>
      </c>
      <c r="O74" s="258">
        <f>N74/N59</f>
        <v>0.21739130434782608</v>
      </c>
      <c r="P74" s="249">
        <v>7</v>
      </c>
      <c r="Q74" s="257">
        <f>P74/P59</f>
        <v>0.31818181818181818</v>
      </c>
      <c r="R74" s="251">
        <v>10</v>
      </c>
      <c r="S74" s="258">
        <f>R74/R59</f>
        <v>0.37037037037037035</v>
      </c>
      <c r="T74" s="249">
        <v>8</v>
      </c>
      <c r="U74" s="257">
        <f>T74/T59</f>
        <v>0.29629629629629628</v>
      </c>
      <c r="V74" s="251">
        <v>7</v>
      </c>
      <c r="W74" s="258">
        <f>V74/V59</f>
        <v>0.25925925925925924</v>
      </c>
      <c r="X74" s="249">
        <v>6</v>
      </c>
      <c r="Y74" s="257">
        <f>X74/X59</f>
        <v>0.20689655172413793</v>
      </c>
      <c r="Z74" s="249"/>
      <c r="AA74" s="250" t="e">
        <f>Z74/Z59</f>
        <v>#DIV/0!</v>
      </c>
      <c r="AB74" s="249"/>
      <c r="AC74" s="255"/>
      <c r="AD74" s="249"/>
      <c r="AE74" s="250" t="e">
        <f>AD74/AD59</f>
        <v>#DIV/0!</v>
      </c>
    </row>
    <row r="75" ht="15.75" customHeight="1">
      <c r="F75" s="96"/>
      <c r="H75" s="241"/>
      <c r="I75" s="238"/>
      <c r="J75" s="241"/>
      <c r="K75" s="239"/>
      <c r="L75" s="259"/>
      <c r="M75" s="260"/>
      <c r="N75" s="241"/>
      <c r="O75" s="238"/>
      <c r="P75" s="241"/>
      <c r="Q75" s="238"/>
      <c r="R75" s="241"/>
      <c r="S75" s="238"/>
      <c r="T75" s="241"/>
      <c r="U75" s="238"/>
      <c r="V75" s="241"/>
      <c r="W75" s="238"/>
      <c r="X75" s="241"/>
      <c r="Y75" s="238"/>
      <c r="Z75" s="241"/>
      <c r="AA75" s="238"/>
      <c r="AB75" s="241"/>
      <c r="AC75" s="242"/>
      <c r="AD75" s="241"/>
      <c r="AE75" s="238"/>
    </row>
    <row r="76" ht="15.75" customHeight="1">
      <c r="A76" s="261"/>
      <c r="B76" s="261" t="s">
        <v>457</v>
      </c>
      <c r="D76" s="122">
        <v>23</v>
      </c>
      <c r="F76" s="96"/>
      <c r="H76" s="241"/>
      <c r="I76" s="238"/>
      <c r="J76" s="241"/>
      <c r="K76" s="239"/>
      <c r="L76" s="259"/>
      <c r="M76" s="260"/>
      <c r="N76" s="241"/>
      <c r="O76" s="238"/>
      <c r="P76" s="241"/>
      <c r="Q76" s="238"/>
      <c r="R76" s="241"/>
      <c r="S76" s="238"/>
      <c r="T76" s="241"/>
      <c r="U76" s="238"/>
      <c r="V76" s="241"/>
      <c r="W76" s="238"/>
      <c r="X76" s="241"/>
      <c r="Y76" s="238"/>
      <c r="Z76" s="241"/>
      <c r="AA76" s="238"/>
      <c r="AB76" s="241"/>
      <c r="AC76" s="242"/>
      <c r="AD76" s="241"/>
      <c r="AE76" s="238"/>
    </row>
    <row r="77" ht="15.75" customHeight="1">
      <c r="A77" s="262"/>
      <c r="B77" s="262" t="s">
        <v>458</v>
      </c>
      <c r="D77" s="122">
        <v>2</v>
      </c>
      <c r="E77" s="256"/>
      <c r="F77" s="260"/>
      <c r="G77" s="260"/>
      <c r="H77" s="263"/>
      <c r="I77" s="264"/>
      <c r="J77" s="263"/>
      <c r="K77" s="265"/>
      <c r="L77" s="259"/>
      <c r="M77" s="260"/>
      <c r="N77" s="263"/>
      <c r="O77" s="264"/>
      <c r="P77" s="263"/>
      <c r="Q77" s="264"/>
      <c r="R77" s="263"/>
      <c r="S77" s="264"/>
      <c r="T77" s="263"/>
      <c r="U77" s="264"/>
      <c r="V77" s="263"/>
      <c r="W77" s="264"/>
      <c r="X77" s="263"/>
      <c r="Y77" s="264"/>
      <c r="Z77" s="263"/>
      <c r="AA77" s="264"/>
      <c r="AB77" s="263"/>
      <c r="AC77" s="259"/>
      <c r="AD77" s="263"/>
      <c r="AE77" s="264"/>
    </row>
    <row r="78" ht="15.75" customHeight="1">
      <c r="A78" s="262"/>
      <c r="B78" s="262" t="s">
        <v>459</v>
      </c>
      <c r="D78" s="122">
        <v>3</v>
      </c>
      <c r="E78" s="256"/>
      <c r="F78" s="260"/>
      <c r="G78" s="260"/>
      <c r="H78" s="263"/>
      <c r="I78" s="264"/>
      <c r="J78" s="263"/>
      <c r="K78" s="265"/>
      <c r="L78" s="259"/>
      <c r="M78" s="260"/>
      <c r="N78" s="263"/>
      <c r="O78" s="264"/>
      <c r="P78" s="263"/>
      <c r="Q78" s="264"/>
      <c r="R78" s="263"/>
      <c r="S78" s="264"/>
      <c r="T78" s="263"/>
      <c r="U78" s="264"/>
      <c r="V78" s="263"/>
      <c r="X78" s="263"/>
      <c r="Y78" s="264"/>
      <c r="Z78" s="263"/>
      <c r="AA78" s="264"/>
      <c r="AB78" s="263"/>
      <c r="AC78" s="259"/>
      <c r="AD78" s="263"/>
      <c r="AE78" s="264"/>
    </row>
    <row r="79" ht="15.75" customHeight="1">
      <c r="A79" s="262"/>
      <c r="B79" s="262" t="s">
        <v>460</v>
      </c>
      <c r="D79" s="122">
        <v>3</v>
      </c>
      <c r="E79" s="256"/>
      <c r="F79" s="260"/>
      <c r="G79" s="260"/>
      <c r="H79" s="263"/>
      <c r="I79" s="264"/>
      <c r="J79" s="263"/>
      <c r="K79" s="265"/>
      <c r="L79" s="259"/>
      <c r="M79" s="260"/>
      <c r="N79" s="263"/>
      <c r="O79" s="264"/>
      <c r="P79" s="263"/>
      <c r="Q79" s="264"/>
      <c r="R79" s="263"/>
      <c r="S79" s="264"/>
      <c r="T79" s="263"/>
      <c r="U79" s="264"/>
      <c r="V79" s="263"/>
      <c r="W79" s="264"/>
      <c r="X79" s="263"/>
      <c r="Y79" s="264"/>
      <c r="Z79" s="263"/>
      <c r="AA79" s="264"/>
      <c r="AB79" s="263"/>
      <c r="AC79" s="259"/>
      <c r="AD79" s="263"/>
      <c r="AE79" s="264"/>
    </row>
    <row r="80" ht="15.75" customHeight="1">
      <c r="A80" s="262"/>
      <c r="B80" s="262" t="s">
        <v>461</v>
      </c>
      <c r="D80" s="122">
        <v>2</v>
      </c>
      <c r="E80" s="256"/>
      <c r="F80" s="260"/>
      <c r="G80" s="260"/>
      <c r="H80" s="263"/>
      <c r="I80" s="264"/>
      <c r="J80" s="263"/>
      <c r="K80" s="265"/>
      <c r="L80" s="259"/>
      <c r="M80" s="260"/>
      <c r="N80" s="263"/>
      <c r="O80" s="264"/>
      <c r="P80" s="263"/>
      <c r="Q80" s="264"/>
      <c r="R80" s="263"/>
      <c r="S80" s="264"/>
      <c r="T80" s="263"/>
      <c r="U80" s="264"/>
      <c r="V80" s="263"/>
      <c r="W80" s="264"/>
      <c r="X80" s="263"/>
      <c r="Y80" s="264"/>
      <c r="Z80" s="263"/>
      <c r="AA80" s="264"/>
      <c r="AB80" s="263"/>
      <c r="AC80" s="259"/>
      <c r="AD80" s="263"/>
      <c r="AE80" s="264"/>
    </row>
    <row r="81" ht="15.75" customHeight="1">
      <c r="A81" s="262"/>
      <c r="B81" s="262" t="s">
        <v>462</v>
      </c>
      <c r="D81" s="122">
        <v>2</v>
      </c>
      <c r="E81" s="256"/>
      <c r="F81" s="260"/>
      <c r="G81" s="260"/>
      <c r="H81" s="263"/>
      <c r="I81" s="264"/>
      <c r="J81" s="263"/>
      <c r="K81" s="265"/>
      <c r="L81" s="259"/>
      <c r="M81" s="260"/>
      <c r="N81" s="263"/>
      <c r="O81" s="264"/>
      <c r="P81" s="263"/>
      <c r="Q81" s="264"/>
      <c r="R81" s="263"/>
      <c r="S81" s="264"/>
      <c r="T81" s="263"/>
      <c r="U81" s="264"/>
      <c r="V81" s="263"/>
      <c r="W81" s="264"/>
      <c r="X81" s="263"/>
      <c r="Y81" s="264"/>
      <c r="Z81" s="263"/>
      <c r="AA81" s="264"/>
      <c r="AB81" s="263"/>
      <c r="AC81" s="259"/>
      <c r="AD81" s="263"/>
      <c r="AE81" s="264"/>
    </row>
    <row r="82" ht="15.75" customHeight="1">
      <c r="A82" s="262"/>
      <c r="B82" s="262" t="s">
        <v>463</v>
      </c>
      <c r="D82" s="122">
        <v>0</v>
      </c>
      <c r="F82" s="96"/>
      <c r="G82" s="96"/>
      <c r="H82" s="241"/>
      <c r="I82" s="238"/>
      <c r="J82" s="241"/>
      <c r="K82" s="239"/>
      <c r="L82" s="242"/>
      <c r="M82" s="96"/>
      <c r="N82" s="241"/>
      <c r="O82" s="238"/>
      <c r="P82" s="241"/>
      <c r="Q82" s="238"/>
      <c r="R82" s="241"/>
      <c r="S82" s="238"/>
      <c r="T82" s="241"/>
      <c r="U82" s="238"/>
      <c r="V82" s="241"/>
      <c r="W82" s="238"/>
      <c r="X82" s="241"/>
      <c r="Y82" s="238"/>
      <c r="Z82" s="241"/>
      <c r="AA82" s="238"/>
      <c r="AB82" s="241"/>
      <c r="AC82" s="242"/>
      <c r="AD82" s="241"/>
      <c r="AE82" s="238"/>
    </row>
    <row r="83" ht="15.75" customHeight="1">
      <c r="A83" s="262"/>
      <c r="B83" s="262" t="s">
        <v>464</v>
      </c>
      <c r="D83" s="122">
        <v>7</v>
      </c>
      <c r="F83" s="96"/>
      <c r="G83" s="96"/>
      <c r="H83" s="241"/>
      <c r="I83" s="238"/>
      <c r="J83" s="241"/>
      <c r="K83" s="239"/>
      <c r="L83" s="242"/>
      <c r="M83" s="96"/>
      <c r="N83" s="241"/>
      <c r="O83" s="238"/>
      <c r="P83" s="241"/>
      <c r="Q83" s="238"/>
      <c r="R83" s="241"/>
      <c r="S83" s="238"/>
      <c r="T83" s="241"/>
      <c r="U83" s="238"/>
      <c r="V83" s="241"/>
      <c r="W83" s="238"/>
      <c r="X83" s="241"/>
      <c r="Y83" s="238"/>
      <c r="Z83" s="241"/>
      <c r="AA83" s="238"/>
      <c r="AB83" s="241"/>
      <c r="AC83" s="242"/>
      <c r="AD83" s="241"/>
      <c r="AE83" s="238"/>
    </row>
    <row r="84" ht="15.75" customHeight="1">
      <c r="A84" s="262"/>
      <c r="B84" s="262" t="s">
        <v>465</v>
      </c>
      <c r="D84" s="122">
        <v>4</v>
      </c>
      <c r="F84" s="96"/>
      <c r="G84" s="96"/>
      <c r="H84" s="241"/>
      <c r="I84" s="238"/>
      <c r="J84" s="241"/>
      <c r="K84" s="239"/>
      <c r="L84" s="242"/>
      <c r="M84" s="96"/>
      <c r="N84" s="241"/>
      <c r="O84" s="238"/>
      <c r="P84" s="241"/>
      <c r="Q84" s="238"/>
      <c r="R84" s="241"/>
      <c r="S84" s="238"/>
      <c r="T84" s="241"/>
      <c r="U84" s="238"/>
      <c r="V84" s="241"/>
      <c r="W84" s="238"/>
      <c r="X84" s="241"/>
      <c r="Y84" s="238"/>
      <c r="Z84" s="241"/>
      <c r="AA84" s="238"/>
      <c r="AB84" s="241"/>
      <c r="AC84" s="242"/>
      <c r="AD84" s="241"/>
      <c r="AE84" s="238"/>
    </row>
    <row r="85" ht="15.75" customHeight="1">
      <c r="C85" s="266"/>
      <c r="F85" s="96"/>
      <c r="G85" s="96"/>
      <c r="H85" s="241"/>
      <c r="I85" s="238"/>
      <c r="J85" s="241"/>
      <c r="K85" s="239"/>
      <c r="L85" s="242"/>
      <c r="M85" s="96"/>
      <c r="N85" s="241"/>
      <c r="O85" s="238"/>
      <c r="P85" s="241"/>
      <c r="Q85" s="238"/>
      <c r="R85" s="241"/>
      <c r="S85" s="238"/>
      <c r="T85" s="241"/>
      <c r="U85" s="238"/>
      <c r="V85" s="241"/>
      <c r="W85" s="238"/>
      <c r="X85" s="241"/>
      <c r="Y85" s="238"/>
      <c r="Z85" s="241"/>
      <c r="AA85" s="238"/>
      <c r="AB85" s="241"/>
      <c r="AC85" s="242"/>
      <c r="AD85" s="241"/>
      <c r="AE85" s="238"/>
    </row>
    <row r="86" ht="15.75" customHeight="1">
      <c r="C86" s="266"/>
      <c r="F86" s="96"/>
      <c r="G86" s="96"/>
      <c r="H86" s="241"/>
      <c r="I86" s="238"/>
      <c r="J86" s="241"/>
      <c r="K86" s="239"/>
      <c r="L86" s="242"/>
      <c r="M86" s="96"/>
      <c r="N86" s="241"/>
      <c r="O86" s="238"/>
      <c r="P86" s="241"/>
      <c r="Q86" s="238"/>
      <c r="R86" s="241"/>
      <c r="S86" s="238"/>
      <c r="T86" s="241"/>
      <c r="U86" s="238"/>
      <c r="V86" s="241"/>
      <c r="W86" s="238"/>
      <c r="X86" s="241"/>
      <c r="Y86" s="238"/>
      <c r="Z86" s="241"/>
      <c r="AA86" s="238"/>
      <c r="AB86" s="241"/>
      <c r="AC86" s="242"/>
      <c r="AD86" s="241"/>
      <c r="AE86" s="238"/>
    </row>
    <row r="87" ht="15.75" customHeight="1">
      <c r="A87" s="77" t="s">
        <v>466</v>
      </c>
      <c r="C87" s="266"/>
      <c r="F87" s="96"/>
      <c r="G87" s="96"/>
      <c r="H87" s="241"/>
      <c r="I87" s="238"/>
      <c r="J87" s="241"/>
      <c r="K87" s="239"/>
      <c r="L87" s="242"/>
      <c r="M87" s="96"/>
      <c r="N87" s="241"/>
      <c r="O87" s="238"/>
      <c r="P87" s="241"/>
      <c r="Q87" s="238"/>
      <c r="R87" s="241"/>
      <c r="S87" s="238"/>
      <c r="T87" s="241"/>
      <c r="U87" s="238"/>
      <c r="V87" s="241"/>
      <c r="W87" s="238"/>
      <c r="X87" s="241"/>
      <c r="Y87" s="238"/>
      <c r="Z87" s="241"/>
      <c r="AA87" s="238"/>
      <c r="AB87" s="241"/>
      <c r="AC87" s="242"/>
      <c r="AD87" s="241"/>
      <c r="AE87" s="238"/>
    </row>
    <row r="88" ht="15.75" customHeight="1">
      <c r="A88" s="1" t="s">
        <v>467</v>
      </c>
      <c r="C88" s="266"/>
      <c r="F88" s="96" t="s">
        <v>468</v>
      </c>
      <c r="G88" s="96"/>
      <c r="H88" s="241"/>
      <c r="I88" s="238"/>
      <c r="J88" s="241"/>
      <c r="K88" s="239"/>
      <c r="L88" s="242"/>
      <c r="M88" s="96"/>
      <c r="N88" s="241"/>
      <c r="O88" s="238"/>
      <c r="P88" s="241"/>
      <c r="Q88" s="238"/>
      <c r="R88" s="241"/>
      <c r="S88" s="238"/>
      <c r="T88" s="241"/>
      <c r="U88" s="238"/>
      <c r="V88" s="241"/>
      <c r="W88" s="238"/>
      <c r="X88" s="241"/>
      <c r="Y88" s="238"/>
      <c r="Z88" s="241"/>
      <c r="AA88" s="238"/>
      <c r="AB88" s="241"/>
      <c r="AC88" s="242"/>
      <c r="AD88" s="241"/>
      <c r="AE88" s="238"/>
    </row>
    <row r="89" ht="15.75" customHeight="1">
      <c r="A89" s="1" t="s">
        <v>469</v>
      </c>
      <c r="C89" s="266"/>
      <c r="F89" s="96"/>
      <c r="G89" s="96"/>
      <c r="H89" s="241"/>
      <c r="I89" s="238"/>
      <c r="J89" s="241"/>
      <c r="K89" s="239"/>
      <c r="L89" s="242"/>
      <c r="M89" s="96"/>
      <c r="N89" s="241"/>
      <c r="O89" s="238"/>
      <c r="P89" s="241"/>
      <c r="Q89" s="238"/>
      <c r="R89" s="241"/>
      <c r="S89" s="238"/>
      <c r="T89" s="241"/>
      <c r="U89" s="238"/>
      <c r="V89" s="241"/>
      <c r="W89" s="238"/>
      <c r="X89" s="241"/>
      <c r="Y89" s="238"/>
      <c r="Z89" s="241"/>
      <c r="AA89" s="238"/>
      <c r="AB89" s="241"/>
      <c r="AC89" s="242"/>
      <c r="AD89" s="241"/>
      <c r="AE89" s="238"/>
    </row>
    <row r="90" ht="15.75" customHeight="1">
      <c r="A90" s="1" t="s">
        <v>470</v>
      </c>
      <c r="C90" s="266"/>
      <c r="F90" s="96" t="s">
        <v>471</v>
      </c>
      <c r="G90" s="96"/>
      <c r="H90" s="241"/>
      <c r="I90" s="238"/>
      <c r="J90" s="241"/>
      <c r="K90" s="239"/>
      <c r="L90" s="242"/>
      <c r="M90" s="96"/>
      <c r="N90" s="241"/>
      <c r="O90" s="238"/>
      <c r="P90" s="241"/>
      <c r="Q90" s="238"/>
      <c r="R90" s="241"/>
      <c r="S90" s="238"/>
      <c r="T90" s="241"/>
      <c r="U90" s="238"/>
      <c r="V90" s="241"/>
      <c r="W90" s="238"/>
      <c r="X90" s="241"/>
      <c r="Y90" s="238"/>
      <c r="Z90" s="241"/>
      <c r="AA90" s="238"/>
      <c r="AB90" s="241"/>
      <c r="AC90" s="242"/>
      <c r="AD90" s="241"/>
      <c r="AE90" s="238"/>
    </row>
    <row r="91" ht="15.75" customHeight="1">
      <c r="A91" s="36" t="s">
        <v>472</v>
      </c>
      <c r="C91" s="266"/>
      <c r="F91" s="96"/>
      <c r="G91" s="96"/>
      <c r="H91" s="241"/>
      <c r="I91" s="238"/>
      <c r="J91" s="241"/>
      <c r="K91" s="239"/>
      <c r="L91" s="242"/>
      <c r="M91" s="96"/>
      <c r="N91" s="241"/>
      <c r="O91" s="238"/>
      <c r="P91" s="241"/>
      <c r="Q91" s="238"/>
      <c r="R91" s="241"/>
      <c r="S91" s="238"/>
      <c r="T91" s="241"/>
      <c r="U91" s="238"/>
      <c r="V91" s="241"/>
      <c r="W91" s="238"/>
      <c r="X91" s="241"/>
      <c r="Y91" s="238"/>
      <c r="Z91" s="241"/>
      <c r="AA91" s="238"/>
      <c r="AB91" s="241"/>
      <c r="AC91" s="242"/>
      <c r="AD91" s="241"/>
      <c r="AE91" s="238"/>
    </row>
    <row r="92" ht="15.75" customHeight="1">
      <c r="A92" s="1" t="s">
        <v>473</v>
      </c>
      <c r="C92" s="266"/>
      <c r="F92" s="96"/>
      <c r="G92" s="96"/>
      <c r="H92" s="241"/>
      <c r="I92" s="238"/>
      <c r="J92" s="241"/>
      <c r="K92" s="239"/>
      <c r="L92" s="242"/>
      <c r="M92" s="96"/>
      <c r="N92" s="241"/>
      <c r="O92" s="238"/>
      <c r="P92" s="241"/>
      <c r="Q92" s="238"/>
      <c r="R92" s="241"/>
      <c r="S92" s="238"/>
      <c r="T92" s="241"/>
      <c r="U92" s="238"/>
      <c r="V92" s="241"/>
      <c r="W92" s="238"/>
      <c r="X92" s="241"/>
      <c r="Y92" s="238"/>
      <c r="Z92" s="241"/>
      <c r="AA92" s="238"/>
      <c r="AB92" s="241"/>
      <c r="AC92" s="242"/>
      <c r="AD92" s="241"/>
      <c r="AE92" s="238"/>
    </row>
    <row r="93" ht="15.75" customHeight="1">
      <c r="A93" s="1" t="s">
        <v>474</v>
      </c>
      <c r="C93" s="266"/>
      <c r="F93" s="96"/>
      <c r="G93" s="96"/>
      <c r="H93" s="241"/>
      <c r="I93" s="238"/>
      <c r="J93" s="241"/>
      <c r="K93" s="239"/>
      <c r="L93" s="242"/>
      <c r="M93" s="96"/>
      <c r="N93" s="241"/>
      <c r="O93" s="238"/>
      <c r="P93" s="241"/>
      <c r="Q93" s="238"/>
      <c r="R93" s="241"/>
      <c r="S93" s="238"/>
      <c r="T93" s="241"/>
      <c r="U93" s="238"/>
      <c r="V93" s="241"/>
      <c r="W93" s="238"/>
      <c r="X93" s="241"/>
      <c r="Y93" s="238"/>
      <c r="Z93" s="241"/>
      <c r="AA93" s="238"/>
      <c r="AB93" s="241"/>
      <c r="AC93" s="242"/>
      <c r="AD93" s="241"/>
      <c r="AE93" s="238"/>
    </row>
    <row r="94" ht="15.75" customHeight="1"/>
    <row r="95" ht="15.75" customHeight="1">
      <c r="C95" s="266"/>
      <c r="F95" s="96"/>
      <c r="G95" s="96"/>
      <c r="H95" s="241"/>
      <c r="I95" s="238"/>
      <c r="J95" s="241"/>
      <c r="K95" s="239"/>
      <c r="L95" s="242"/>
      <c r="M95" s="96"/>
      <c r="N95" s="241"/>
      <c r="O95" s="238"/>
      <c r="P95" s="241"/>
      <c r="Q95" s="238"/>
      <c r="R95" s="241"/>
      <c r="S95" s="238"/>
      <c r="T95" s="241"/>
      <c r="U95" s="238"/>
      <c r="V95" s="241"/>
      <c r="W95" s="238"/>
      <c r="X95" s="241"/>
      <c r="Y95" s="238"/>
      <c r="Z95" s="241"/>
      <c r="AA95" s="238"/>
      <c r="AB95" s="241"/>
      <c r="AC95" s="242"/>
      <c r="AD95" s="241"/>
      <c r="AE95" s="238"/>
    </row>
    <row r="96" ht="15.75" customHeight="1">
      <c r="A96" s="77" t="s">
        <v>475</v>
      </c>
      <c r="C96" s="266"/>
      <c r="E96" s="96"/>
      <c r="F96" s="96" t="s">
        <v>476</v>
      </c>
      <c r="G96" s="96" t="s">
        <v>477</v>
      </c>
      <c r="H96" s="241"/>
      <c r="I96" s="238"/>
      <c r="J96" s="241"/>
      <c r="K96" s="239"/>
      <c r="L96" s="242"/>
      <c r="M96" s="96"/>
      <c r="N96" s="241"/>
      <c r="O96" s="238"/>
      <c r="P96" s="241"/>
      <c r="Q96" s="238"/>
      <c r="R96" s="241"/>
      <c r="S96" s="238"/>
      <c r="T96" s="241"/>
      <c r="U96" s="238"/>
      <c r="V96" s="241"/>
      <c r="W96" s="238"/>
      <c r="X96" s="241"/>
      <c r="Y96" s="238"/>
      <c r="Z96" s="241"/>
      <c r="AA96" s="238"/>
      <c r="AB96" s="241"/>
      <c r="AC96" s="242"/>
      <c r="AD96" s="241"/>
      <c r="AE96" s="238"/>
    </row>
    <row r="97" ht="15.75" customHeight="1">
      <c r="A97" s="1" t="s">
        <v>478</v>
      </c>
      <c r="C97" s="266"/>
      <c r="E97" s="96">
        <v>83</v>
      </c>
      <c r="F97" s="96">
        <v>20</v>
      </c>
      <c r="G97" s="96">
        <v>63</v>
      </c>
      <c r="H97" s="241"/>
      <c r="I97" s="238"/>
      <c r="J97" s="241"/>
      <c r="K97" s="239"/>
      <c r="L97" s="242"/>
      <c r="M97" s="96"/>
      <c r="N97" s="241"/>
      <c r="O97" s="238"/>
      <c r="P97" s="241"/>
      <c r="Q97" s="238"/>
      <c r="R97" s="241"/>
      <c r="S97" s="238"/>
      <c r="T97" s="241"/>
      <c r="U97" s="238"/>
      <c r="V97" s="241"/>
      <c r="W97" s="238"/>
      <c r="X97" s="241"/>
      <c r="Y97" s="238"/>
      <c r="Z97" s="241"/>
      <c r="AA97" s="238"/>
      <c r="AB97" s="241"/>
      <c r="AC97" s="242"/>
      <c r="AD97" s="241"/>
      <c r="AE97" s="238"/>
    </row>
    <row r="98" ht="15.75" customHeight="1">
      <c r="A98" s="1" t="s">
        <v>479</v>
      </c>
      <c r="C98" s="266"/>
      <c r="E98" s="96"/>
      <c r="F98" s="96"/>
      <c r="G98" s="96"/>
      <c r="H98" s="241"/>
      <c r="I98" s="238"/>
      <c r="J98" s="241"/>
      <c r="K98" s="239"/>
      <c r="L98" s="242"/>
      <c r="M98" s="96"/>
      <c r="N98" s="241"/>
      <c r="O98" s="238"/>
      <c r="P98" s="241"/>
      <c r="Q98" s="238"/>
      <c r="R98" s="241"/>
      <c r="S98" s="238"/>
      <c r="T98" s="241"/>
      <c r="U98" s="238"/>
      <c r="V98" s="241"/>
      <c r="W98" s="238"/>
      <c r="X98" s="241"/>
      <c r="Y98" s="238"/>
      <c r="Z98" s="241"/>
      <c r="AA98" s="238"/>
      <c r="AB98" s="241"/>
      <c r="AC98" s="242"/>
      <c r="AD98" s="241"/>
      <c r="AE98" s="238"/>
    </row>
    <row r="99" ht="15.75" customHeight="1">
      <c r="B99" s="1" t="s">
        <v>480</v>
      </c>
      <c r="C99" s="266"/>
      <c r="E99" s="96"/>
      <c r="F99" s="96"/>
      <c r="G99" s="267" t="s">
        <v>481</v>
      </c>
      <c r="H99" s="241"/>
      <c r="I99" s="238"/>
      <c r="J99" s="241"/>
      <c r="K99" s="239"/>
      <c r="L99" s="242"/>
      <c r="M99" s="96"/>
      <c r="N99" s="241"/>
      <c r="O99" s="238"/>
      <c r="P99" s="241"/>
      <c r="Q99" s="238"/>
      <c r="R99" s="241"/>
      <c r="S99" s="238"/>
      <c r="T99" s="241"/>
      <c r="U99" s="238"/>
      <c r="V99" s="241"/>
      <c r="W99" s="238"/>
      <c r="X99" s="241"/>
      <c r="Y99" s="238"/>
      <c r="Z99" s="241"/>
      <c r="AA99" s="238"/>
      <c r="AB99" s="241"/>
      <c r="AC99" s="242"/>
      <c r="AD99" s="241"/>
      <c r="AE99" s="238"/>
    </row>
    <row r="100" ht="15.75" customHeight="1">
      <c r="A100" s="1" t="s">
        <v>482</v>
      </c>
      <c r="C100" s="266"/>
      <c r="E100" s="96">
        <v>10</v>
      </c>
      <c r="F100" s="96">
        <v>6</v>
      </c>
      <c r="G100" s="267" t="s">
        <v>483</v>
      </c>
      <c r="H100" s="241"/>
      <c r="I100" s="238"/>
      <c r="J100" s="241"/>
      <c r="K100" s="239"/>
      <c r="L100" s="242"/>
      <c r="M100" s="96"/>
      <c r="N100" s="241"/>
      <c r="O100" s="238"/>
      <c r="P100" s="241"/>
      <c r="Q100" s="238"/>
      <c r="R100" s="241"/>
      <c r="S100" s="238"/>
      <c r="T100" s="241"/>
      <c r="U100" s="238"/>
      <c r="V100" s="241"/>
      <c r="W100" s="238"/>
      <c r="X100" s="241"/>
      <c r="Y100" s="238"/>
      <c r="Z100" s="241"/>
      <c r="AA100" s="238"/>
      <c r="AB100" s="241"/>
      <c r="AC100" s="242"/>
      <c r="AD100" s="241"/>
      <c r="AE100" s="238"/>
    </row>
    <row r="101" ht="15.75" customHeight="1">
      <c r="A101" s="1" t="s">
        <v>484</v>
      </c>
      <c r="C101" s="266"/>
      <c r="E101" s="96"/>
      <c r="F101" s="96"/>
      <c r="G101" s="267" t="s">
        <v>485</v>
      </c>
      <c r="H101" s="241"/>
      <c r="I101" s="238"/>
      <c r="J101" s="241"/>
      <c r="K101" s="239"/>
      <c r="L101" s="242"/>
      <c r="M101" s="96"/>
      <c r="N101" s="241"/>
      <c r="O101" s="238"/>
      <c r="P101" s="241"/>
      <c r="Q101" s="238"/>
      <c r="R101" s="241"/>
      <c r="S101" s="238"/>
      <c r="T101" s="241"/>
      <c r="U101" s="238"/>
      <c r="V101" s="241"/>
      <c r="W101" s="238"/>
      <c r="X101" s="241"/>
      <c r="Y101" s="238"/>
      <c r="Z101" s="241"/>
      <c r="AA101" s="238"/>
      <c r="AB101" s="241"/>
      <c r="AC101" s="242"/>
      <c r="AD101" s="241"/>
      <c r="AE101" s="238"/>
    </row>
    <row r="102" ht="15.75" customHeight="1">
      <c r="C102" s="266"/>
      <c r="E102" s="96"/>
      <c r="F102" s="96"/>
      <c r="G102" s="96"/>
      <c r="H102" s="241"/>
      <c r="I102" s="238"/>
      <c r="J102" s="241"/>
      <c r="K102" s="239"/>
      <c r="L102" s="242"/>
      <c r="M102" s="96"/>
      <c r="N102" s="241"/>
      <c r="O102" s="238"/>
      <c r="P102" s="241"/>
      <c r="Q102" s="238"/>
      <c r="R102" s="241"/>
      <c r="S102" s="238"/>
      <c r="T102" s="241"/>
      <c r="U102" s="238"/>
      <c r="V102" s="241"/>
      <c r="W102" s="238"/>
      <c r="X102" s="241"/>
      <c r="Y102" s="238"/>
      <c r="Z102" s="241"/>
      <c r="AA102" s="238"/>
      <c r="AB102" s="241"/>
      <c r="AC102" s="242"/>
      <c r="AD102" s="241"/>
      <c r="AE102" s="238"/>
    </row>
    <row r="103" ht="19.5" customHeight="1">
      <c r="C103" s="266"/>
      <c r="E103" s="96"/>
      <c r="F103" s="96"/>
      <c r="G103" s="96"/>
      <c r="H103" s="241"/>
      <c r="I103" s="238"/>
      <c r="J103" s="241"/>
      <c r="K103" s="239"/>
      <c r="L103" s="242"/>
      <c r="M103" s="96"/>
      <c r="N103" s="241"/>
      <c r="O103" s="238"/>
      <c r="P103" s="241"/>
      <c r="Q103" s="238"/>
      <c r="R103" s="241"/>
      <c r="S103" s="238"/>
      <c r="T103" s="241"/>
      <c r="U103" s="238"/>
      <c r="V103" s="241"/>
      <c r="W103" s="238"/>
      <c r="X103" s="241"/>
      <c r="Y103" s="238"/>
      <c r="Z103" s="241"/>
      <c r="AA103" s="238"/>
      <c r="AB103" s="241"/>
      <c r="AC103" s="242"/>
      <c r="AD103" s="241"/>
      <c r="AE103" s="238"/>
    </row>
    <row r="104" ht="15.75" customHeight="1">
      <c r="C104" s="266"/>
      <c r="F104" s="96"/>
      <c r="G104" s="96"/>
      <c r="H104" s="241"/>
      <c r="I104" s="238"/>
      <c r="J104" s="241"/>
      <c r="K104" s="239"/>
      <c r="L104" s="242"/>
      <c r="M104" s="96"/>
      <c r="N104" s="241"/>
      <c r="O104" s="238"/>
      <c r="P104" s="241"/>
      <c r="Q104" s="238"/>
      <c r="R104" s="241"/>
      <c r="S104" s="238"/>
      <c r="T104" s="241"/>
      <c r="U104" s="238"/>
      <c r="V104" s="241"/>
      <c r="W104" s="238"/>
      <c r="X104" s="241"/>
      <c r="Y104" s="238"/>
      <c r="Z104" s="241"/>
      <c r="AA104" s="238"/>
      <c r="AB104" s="241"/>
      <c r="AC104" s="242"/>
      <c r="AD104" s="241"/>
      <c r="AE104" s="238"/>
    </row>
    <row r="105" ht="15.75" customHeight="1">
      <c r="C105" s="266"/>
      <c r="F105" s="96"/>
      <c r="G105" s="96"/>
      <c r="H105" s="241"/>
      <c r="I105" s="238"/>
      <c r="J105" s="241"/>
      <c r="K105" s="239"/>
      <c r="L105" s="242"/>
      <c r="M105" s="96"/>
      <c r="N105" s="241"/>
      <c r="O105" s="238"/>
      <c r="P105" s="241"/>
      <c r="Q105" s="238"/>
      <c r="R105" s="241"/>
      <c r="S105" s="238"/>
      <c r="T105" s="241"/>
      <c r="U105" s="238"/>
      <c r="V105" s="241"/>
      <c r="W105" s="238"/>
      <c r="X105" s="241"/>
      <c r="Y105" s="238"/>
      <c r="Z105" s="241"/>
      <c r="AA105" s="238"/>
      <c r="AB105" s="241"/>
      <c r="AC105" s="242"/>
      <c r="AD105" s="241"/>
      <c r="AE105" s="238"/>
    </row>
    <row r="106" ht="15.75" customHeight="1">
      <c r="C106" s="266"/>
      <c r="F106" s="96"/>
      <c r="G106" s="96"/>
      <c r="H106" s="241"/>
      <c r="I106" s="238"/>
      <c r="J106" s="241"/>
      <c r="K106" s="239"/>
      <c r="L106" s="242"/>
      <c r="M106" s="96"/>
      <c r="N106" s="241"/>
      <c r="O106" s="238"/>
      <c r="P106" s="241"/>
      <c r="Q106" s="238"/>
      <c r="R106" s="241"/>
      <c r="S106" s="238"/>
      <c r="T106" s="241"/>
      <c r="U106" s="238"/>
      <c r="V106" s="241"/>
      <c r="W106" s="238"/>
      <c r="X106" s="241"/>
      <c r="Y106" s="238"/>
      <c r="Z106" s="241"/>
      <c r="AA106" s="238"/>
      <c r="AB106" s="241"/>
      <c r="AC106" s="242"/>
      <c r="AD106" s="241"/>
      <c r="AE106" s="238"/>
    </row>
    <row r="107" ht="15.75" customHeight="1">
      <c r="C107" s="266"/>
      <c r="F107" s="96"/>
      <c r="G107" s="96"/>
      <c r="H107" s="241"/>
      <c r="I107" s="238"/>
      <c r="J107" s="241"/>
      <c r="K107" s="239"/>
      <c r="L107" s="242"/>
      <c r="M107" s="96"/>
      <c r="N107" s="241"/>
      <c r="O107" s="238"/>
      <c r="P107" s="241"/>
      <c r="Q107" s="238"/>
      <c r="R107" s="241"/>
      <c r="S107" s="238"/>
      <c r="T107" s="241"/>
      <c r="U107" s="238"/>
      <c r="V107" s="241"/>
      <c r="W107" s="238"/>
      <c r="X107" s="241"/>
      <c r="Y107" s="238"/>
      <c r="Z107" s="241"/>
      <c r="AA107" s="238"/>
      <c r="AB107" s="241"/>
      <c r="AC107" s="242"/>
      <c r="AD107" s="241"/>
      <c r="AE107" s="238"/>
    </row>
    <row r="108" ht="15.75" customHeight="1">
      <c r="C108" s="266"/>
      <c r="F108" s="96"/>
      <c r="G108" s="96"/>
      <c r="H108" s="241"/>
      <c r="I108" s="238"/>
      <c r="J108" s="241"/>
      <c r="K108" s="239"/>
      <c r="L108" s="242"/>
      <c r="M108" s="96"/>
      <c r="N108" s="241"/>
      <c r="O108" s="238"/>
      <c r="P108" s="241"/>
      <c r="Q108" s="238"/>
      <c r="R108" s="241"/>
      <c r="S108" s="238"/>
      <c r="T108" s="241"/>
      <c r="U108" s="238"/>
      <c r="V108" s="241"/>
      <c r="W108" s="238"/>
      <c r="X108" s="241"/>
      <c r="Y108" s="238"/>
      <c r="Z108" s="241"/>
      <c r="AA108" s="238"/>
      <c r="AB108" s="241"/>
      <c r="AC108" s="242"/>
      <c r="AD108" s="241"/>
      <c r="AE108" s="238"/>
    </row>
    <row r="109" ht="15.75" customHeight="1">
      <c r="C109" s="266"/>
      <c r="F109" s="96"/>
      <c r="G109" s="96"/>
      <c r="H109" s="241"/>
      <c r="I109" s="238"/>
      <c r="J109" s="241"/>
      <c r="K109" s="239"/>
      <c r="L109" s="242"/>
      <c r="M109" s="96"/>
      <c r="N109" s="241"/>
      <c r="O109" s="238"/>
      <c r="P109" s="241"/>
      <c r="Q109" s="238"/>
      <c r="R109" s="241"/>
      <c r="S109" s="238"/>
      <c r="T109" s="241"/>
      <c r="U109" s="238"/>
      <c r="V109" s="241"/>
      <c r="W109" s="238"/>
      <c r="X109" s="241"/>
      <c r="Y109" s="238"/>
      <c r="Z109" s="241"/>
      <c r="AA109" s="238"/>
      <c r="AB109" s="241"/>
      <c r="AC109" s="242"/>
      <c r="AD109" s="241"/>
      <c r="AE109" s="238"/>
    </row>
    <row r="110" ht="15.75" customHeight="1">
      <c r="C110" s="266"/>
      <c r="F110" s="96"/>
      <c r="G110" s="96"/>
      <c r="H110" s="241"/>
      <c r="I110" s="238"/>
      <c r="J110" s="241"/>
      <c r="K110" s="239"/>
      <c r="L110" s="242"/>
      <c r="M110" s="96"/>
      <c r="N110" s="241"/>
      <c r="O110" s="238"/>
      <c r="P110" s="241"/>
      <c r="Q110" s="238"/>
      <c r="R110" s="241"/>
      <c r="S110" s="238"/>
      <c r="T110" s="241"/>
      <c r="U110" s="238"/>
      <c r="V110" s="241"/>
      <c r="W110" s="238"/>
      <c r="X110" s="241"/>
      <c r="Y110" s="238"/>
      <c r="Z110" s="241"/>
      <c r="AA110" s="238"/>
      <c r="AB110" s="241"/>
      <c r="AC110" s="242"/>
      <c r="AD110" s="241"/>
      <c r="AE110" s="238"/>
    </row>
    <row r="111" ht="15.75" customHeight="1">
      <c r="C111" s="266"/>
      <c r="F111" s="96"/>
      <c r="G111" s="96"/>
      <c r="H111" s="241"/>
      <c r="I111" s="238"/>
      <c r="J111" s="241"/>
      <c r="K111" s="239"/>
      <c r="L111" s="242"/>
      <c r="M111" s="96"/>
      <c r="N111" s="241"/>
      <c r="O111" s="238"/>
      <c r="P111" s="241"/>
      <c r="Q111" s="238"/>
      <c r="R111" s="241"/>
      <c r="S111" s="238"/>
      <c r="T111" s="241"/>
      <c r="U111" s="238"/>
      <c r="V111" s="241"/>
      <c r="W111" s="238"/>
      <c r="X111" s="241"/>
      <c r="Y111" s="238"/>
      <c r="Z111" s="241"/>
      <c r="AA111" s="238"/>
      <c r="AB111" s="241"/>
      <c r="AC111" s="242"/>
      <c r="AD111" s="241"/>
      <c r="AE111" s="238"/>
    </row>
    <row r="112" ht="15.75" customHeight="1">
      <c r="C112" s="266"/>
      <c r="F112" s="96"/>
      <c r="G112" s="96"/>
      <c r="H112" s="241"/>
      <c r="I112" s="238"/>
      <c r="J112" s="241"/>
      <c r="K112" s="239"/>
      <c r="L112" s="242"/>
      <c r="M112" s="96"/>
      <c r="N112" s="241"/>
      <c r="O112" s="238"/>
      <c r="P112" s="241"/>
      <c r="Q112" s="238"/>
      <c r="R112" s="241"/>
      <c r="S112" s="238"/>
      <c r="T112" s="241"/>
      <c r="U112" s="238"/>
      <c r="V112" s="241"/>
      <c r="W112" s="238"/>
      <c r="X112" s="241"/>
      <c r="Y112" s="238"/>
      <c r="Z112" s="241"/>
      <c r="AA112" s="238"/>
      <c r="AB112" s="241"/>
      <c r="AC112" s="242"/>
      <c r="AD112" s="241"/>
      <c r="AE112" s="238"/>
    </row>
    <row r="113" ht="15.75" customHeight="1">
      <c r="C113" s="266"/>
      <c r="F113" s="96"/>
      <c r="G113" s="96"/>
      <c r="H113" s="241"/>
      <c r="I113" s="238"/>
      <c r="J113" s="241"/>
      <c r="K113" s="239"/>
      <c r="L113" s="242"/>
      <c r="M113" s="96"/>
      <c r="N113" s="241"/>
      <c r="O113" s="238"/>
      <c r="P113" s="241"/>
      <c r="Q113" s="238"/>
      <c r="R113" s="241"/>
      <c r="S113" s="238"/>
      <c r="T113" s="241"/>
      <c r="U113" s="238"/>
      <c r="V113" s="241"/>
      <c r="W113" s="238"/>
      <c r="X113" s="241"/>
      <c r="Y113" s="238"/>
      <c r="Z113" s="241"/>
      <c r="AA113" s="238"/>
      <c r="AB113" s="241"/>
      <c r="AC113" s="242"/>
      <c r="AD113" s="241"/>
      <c r="AE113" s="238"/>
    </row>
    <row r="114" ht="15.75" customHeight="1">
      <c r="C114" s="266"/>
      <c r="F114" s="96"/>
      <c r="G114" s="96"/>
      <c r="H114" s="241"/>
      <c r="I114" s="238"/>
      <c r="J114" s="241"/>
      <c r="K114" s="239"/>
      <c r="L114" s="242"/>
      <c r="M114" s="96"/>
      <c r="N114" s="241"/>
      <c r="O114" s="238"/>
      <c r="P114" s="241"/>
      <c r="Q114" s="238"/>
      <c r="R114" s="241"/>
      <c r="S114" s="238"/>
      <c r="T114" s="241"/>
      <c r="U114" s="238"/>
      <c r="V114" s="241"/>
      <c r="W114" s="238"/>
      <c r="X114" s="241"/>
      <c r="Y114" s="238"/>
      <c r="Z114" s="241"/>
      <c r="AA114" s="238"/>
      <c r="AB114" s="241"/>
      <c r="AC114" s="242"/>
      <c r="AD114" s="241"/>
      <c r="AE114" s="238"/>
    </row>
    <row r="115" ht="15.75" customHeight="1">
      <c r="C115" s="266"/>
      <c r="F115" s="96"/>
      <c r="G115" s="96"/>
      <c r="H115" s="241"/>
      <c r="I115" s="238"/>
      <c r="J115" s="241"/>
      <c r="K115" s="239"/>
      <c r="L115" s="242"/>
      <c r="M115" s="96"/>
      <c r="N115" s="241"/>
      <c r="O115" s="238"/>
      <c r="P115" s="241"/>
      <c r="Q115" s="238"/>
      <c r="R115" s="241"/>
      <c r="S115" s="238"/>
      <c r="T115" s="241"/>
      <c r="U115" s="238"/>
      <c r="V115" s="241"/>
      <c r="W115" s="238"/>
      <c r="X115" s="241"/>
      <c r="Y115" s="238"/>
      <c r="Z115" s="241"/>
      <c r="AA115" s="238"/>
      <c r="AB115" s="241"/>
      <c r="AC115" s="242"/>
      <c r="AD115" s="241"/>
      <c r="AE115" s="238"/>
    </row>
    <row r="116" ht="15.75" customHeight="1">
      <c r="C116" s="266"/>
      <c r="F116" s="96"/>
      <c r="G116" s="96"/>
      <c r="H116" s="241"/>
      <c r="I116" s="238"/>
      <c r="J116" s="241"/>
      <c r="K116" s="239"/>
      <c r="L116" s="242"/>
      <c r="M116" s="96"/>
      <c r="N116" s="241"/>
      <c r="O116" s="238"/>
      <c r="P116" s="241"/>
      <c r="Q116" s="238"/>
      <c r="R116" s="241"/>
      <c r="S116" s="238"/>
      <c r="T116" s="241"/>
      <c r="U116" s="238"/>
      <c r="V116" s="241"/>
      <c r="W116" s="238"/>
      <c r="X116" s="241"/>
      <c r="Y116" s="238"/>
      <c r="Z116" s="241"/>
      <c r="AA116" s="238"/>
      <c r="AB116" s="241"/>
      <c r="AC116" s="242"/>
      <c r="AD116" s="241"/>
      <c r="AE116" s="238"/>
    </row>
    <row r="117" ht="15.75" customHeight="1">
      <c r="C117" s="266"/>
      <c r="F117" s="96"/>
      <c r="G117" s="96"/>
      <c r="H117" s="241"/>
      <c r="I117" s="238"/>
      <c r="J117" s="241"/>
      <c r="K117" s="239"/>
      <c r="L117" s="242"/>
      <c r="M117" s="96"/>
      <c r="N117" s="241"/>
      <c r="O117" s="238"/>
      <c r="P117" s="241"/>
      <c r="Q117" s="238"/>
      <c r="R117" s="241"/>
      <c r="S117" s="238"/>
      <c r="T117" s="241"/>
      <c r="U117" s="238"/>
      <c r="V117" s="241"/>
      <c r="W117" s="238"/>
      <c r="X117" s="241"/>
      <c r="Y117" s="238"/>
      <c r="Z117" s="241"/>
      <c r="AA117" s="238"/>
      <c r="AB117" s="241"/>
      <c r="AC117" s="242"/>
      <c r="AD117" s="241"/>
      <c r="AE117" s="238"/>
    </row>
    <row r="118" ht="15.75" customHeight="1">
      <c r="C118" s="266"/>
      <c r="F118" s="96"/>
      <c r="G118" s="96"/>
      <c r="H118" s="241"/>
      <c r="I118" s="238"/>
      <c r="J118" s="241"/>
      <c r="K118" s="239"/>
      <c r="L118" s="242"/>
      <c r="M118" s="96"/>
      <c r="N118" s="241"/>
      <c r="O118" s="238"/>
      <c r="P118" s="241"/>
      <c r="Q118" s="238"/>
      <c r="R118" s="241"/>
      <c r="S118" s="238"/>
      <c r="T118" s="241"/>
      <c r="U118" s="238"/>
      <c r="V118" s="241"/>
      <c r="W118" s="238"/>
      <c r="X118" s="241"/>
      <c r="Y118" s="238"/>
      <c r="Z118" s="241"/>
      <c r="AA118" s="238"/>
      <c r="AB118" s="241"/>
      <c r="AC118" s="242"/>
      <c r="AD118" s="241"/>
      <c r="AE118" s="238"/>
    </row>
    <row r="119" ht="15.75" customHeight="1">
      <c r="C119" s="266"/>
      <c r="F119" s="96"/>
      <c r="G119" s="96"/>
      <c r="H119" s="241"/>
      <c r="I119" s="238"/>
      <c r="J119" s="241"/>
      <c r="K119" s="239"/>
      <c r="L119" s="242"/>
      <c r="M119" s="96"/>
      <c r="N119" s="241"/>
      <c r="O119" s="238"/>
      <c r="P119" s="241"/>
      <c r="Q119" s="238"/>
      <c r="R119" s="241"/>
      <c r="S119" s="238"/>
      <c r="T119" s="241"/>
      <c r="U119" s="238"/>
      <c r="V119" s="241"/>
      <c r="W119" s="238"/>
      <c r="X119" s="241"/>
      <c r="Y119" s="238"/>
      <c r="Z119" s="241"/>
      <c r="AA119" s="238"/>
      <c r="AB119" s="241"/>
      <c r="AC119" s="242"/>
      <c r="AD119" s="241"/>
      <c r="AE119" s="238"/>
    </row>
    <row r="120" ht="15.75" customHeight="1">
      <c r="C120" s="266"/>
      <c r="F120" s="96"/>
      <c r="G120" s="96"/>
      <c r="H120" s="241"/>
      <c r="I120" s="238"/>
      <c r="J120" s="241"/>
      <c r="K120" s="239"/>
      <c r="L120" s="242"/>
      <c r="M120" s="96"/>
      <c r="N120" s="241"/>
      <c r="O120" s="238"/>
      <c r="P120" s="241"/>
      <c r="Q120" s="238"/>
      <c r="R120" s="241"/>
      <c r="S120" s="238"/>
      <c r="T120" s="241"/>
      <c r="U120" s="238"/>
      <c r="V120" s="241"/>
      <c r="W120" s="238"/>
      <c r="X120" s="241"/>
      <c r="Y120" s="238"/>
      <c r="Z120" s="241"/>
      <c r="AA120" s="238"/>
      <c r="AB120" s="241"/>
      <c r="AC120" s="242"/>
      <c r="AD120" s="241"/>
      <c r="AE120" s="238"/>
    </row>
    <row r="121" ht="15.75" customHeight="1">
      <c r="C121" s="266"/>
      <c r="F121" s="96"/>
      <c r="G121" s="96"/>
      <c r="H121" s="241"/>
      <c r="I121" s="238"/>
      <c r="J121" s="241"/>
      <c r="K121" s="239"/>
      <c r="L121" s="242"/>
      <c r="M121" s="96"/>
      <c r="N121" s="241"/>
      <c r="O121" s="238"/>
      <c r="P121" s="241"/>
      <c r="Q121" s="238"/>
      <c r="R121" s="241"/>
      <c r="S121" s="238"/>
      <c r="T121" s="241"/>
      <c r="U121" s="238"/>
      <c r="V121" s="241"/>
      <c r="W121" s="238"/>
      <c r="X121" s="241"/>
      <c r="Y121" s="238"/>
      <c r="Z121" s="241"/>
      <c r="AA121" s="238"/>
      <c r="AB121" s="241"/>
      <c r="AC121" s="242"/>
      <c r="AD121" s="241"/>
      <c r="AE121" s="238"/>
    </row>
    <row r="122" ht="15.75" customHeight="1">
      <c r="C122" s="266"/>
      <c r="F122" s="96"/>
      <c r="G122" s="96"/>
      <c r="H122" s="241"/>
      <c r="I122" s="238"/>
      <c r="J122" s="241"/>
      <c r="K122" s="239"/>
      <c r="L122" s="242"/>
      <c r="M122" s="96"/>
      <c r="N122" s="241"/>
      <c r="O122" s="238"/>
      <c r="P122" s="241"/>
      <c r="Q122" s="238"/>
      <c r="R122" s="241"/>
      <c r="S122" s="238"/>
      <c r="T122" s="241"/>
      <c r="U122" s="238"/>
      <c r="V122" s="241"/>
      <c r="W122" s="238"/>
      <c r="X122" s="241"/>
      <c r="Y122" s="238"/>
      <c r="Z122" s="241"/>
      <c r="AA122" s="238"/>
      <c r="AB122" s="241"/>
      <c r="AC122" s="242"/>
      <c r="AD122" s="241"/>
      <c r="AE122" s="238"/>
    </row>
    <row r="123" ht="15.75" customHeight="1">
      <c r="C123" s="266"/>
      <c r="F123" s="96"/>
      <c r="G123" s="96"/>
      <c r="H123" s="241"/>
      <c r="I123" s="238"/>
      <c r="J123" s="241"/>
      <c r="K123" s="239"/>
      <c r="L123" s="242"/>
      <c r="M123" s="96"/>
      <c r="N123" s="241"/>
      <c r="O123" s="238"/>
      <c r="P123" s="241"/>
      <c r="Q123" s="238"/>
      <c r="R123" s="241"/>
      <c r="S123" s="238"/>
      <c r="T123" s="241"/>
      <c r="U123" s="238"/>
      <c r="V123" s="241"/>
      <c r="W123" s="238"/>
      <c r="X123" s="241"/>
      <c r="Y123" s="238"/>
      <c r="Z123" s="241"/>
      <c r="AA123" s="238"/>
      <c r="AB123" s="241"/>
      <c r="AC123" s="242"/>
      <c r="AD123" s="241"/>
      <c r="AE123" s="238"/>
    </row>
    <row r="124" ht="15.75" customHeight="1">
      <c r="C124" s="266"/>
      <c r="F124" s="96"/>
      <c r="G124" s="96"/>
      <c r="H124" s="241"/>
      <c r="I124" s="238"/>
      <c r="J124" s="241"/>
      <c r="K124" s="239"/>
      <c r="L124" s="242"/>
      <c r="M124" s="96"/>
      <c r="N124" s="241"/>
      <c r="O124" s="238"/>
      <c r="P124" s="241"/>
      <c r="Q124" s="238"/>
      <c r="R124" s="241"/>
      <c r="S124" s="238"/>
      <c r="T124" s="241"/>
      <c r="U124" s="238"/>
      <c r="V124" s="241"/>
      <c r="W124" s="238"/>
      <c r="X124" s="241"/>
      <c r="Y124" s="238"/>
      <c r="Z124" s="241"/>
      <c r="AA124" s="238"/>
      <c r="AB124" s="241"/>
      <c r="AC124" s="242"/>
      <c r="AD124" s="241"/>
      <c r="AE124" s="238"/>
    </row>
    <row r="125" ht="15.75" customHeight="1">
      <c r="C125" s="266"/>
      <c r="F125" s="96"/>
      <c r="G125" s="96"/>
      <c r="H125" s="241"/>
      <c r="I125" s="238"/>
      <c r="J125" s="241"/>
      <c r="K125" s="239"/>
      <c r="L125" s="242"/>
      <c r="M125" s="96"/>
      <c r="N125" s="241"/>
      <c r="O125" s="238"/>
      <c r="P125" s="241"/>
      <c r="Q125" s="238"/>
      <c r="R125" s="241"/>
      <c r="S125" s="238"/>
      <c r="T125" s="241"/>
      <c r="U125" s="238"/>
      <c r="V125" s="241"/>
      <c r="W125" s="238"/>
      <c r="X125" s="241"/>
      <c r="Y125" s="238"/>
      <c r="Z125" s="241"/>
      <c r="AA125" s="238"/>
      <c r="AB125" s="241"/>
      <c r="AC125" s="242"/>
      <c r="AD125" s="241"/>
      <c r="AE125" s="238"/>
    </row>
    <row r="126" ht="15.75" customHeight="1">
      <c r="C126" s="266"/>
      <c r="F126" s="96"/>
      <c r="G126" s="96"/>
      <c r="H126" s="241"/>
      <c r="I126" s="238"/>
      <c r="J126" s="241"/>
      <c r="K126" s="239"/>
      <c r="L126" s="242"/>
      <c r="M126" s="96"/>
      <c r="N126" s="241"/>
      <c r="O126" s="238"/>
      <c r="P126" s="241"/>
      <c r="Q126" s="238"/>
      <c r="R126" s="241"/>
      <c r="S126" s="238"/>
      <c r="T126" s="241"/>
      <c r="U126" s="238"/>
      <c r="V126" s="241"/>
      <c r="W126" s="238"/>
      <c r="X126" s="241"/>
      <c r="Y126" s="238"/>
      <c r="Z126" s="241"/>
      <c r="AA126" s="238"/>
      <c r="AB126" s="241"/>
      <c r="AC126" s="242"/>
      <c r="AD126" s="241"/>
      <c r="AE126" s="238"/>
    </row>
    <row r="127" ht="15.75" customHeight="1">
      <c r="C127" s="266"/>
      <c r="F127" s="96"/>
      <c r="G127" s="96"/>
      <c r="H127" s="241"/>
      <c r="I127" s="238"/>
      <c r="J127" s="241"/>
      <c r="K127" s="239"/>
      <c r="L127" s="242"/>
      <c r="M127" s="96"/>
      <c r="N127" s="241"/>
      <c r="O127" s="238"/>
      <c r="P127" s="241"/>
      <c r="Q127" s="238"/>
      <c r="R127" s="241"/>
      <c r="S127" s="238"/>
      <c r="T127" s="241"/>
      <c r="U127" s="238"/>
      <c r="V127" s="241"/>
      <c r="W127" s="238"/>
      <c r="X127" s="241"/>
      <c r="Y127" s="238"/>
      <c r="Z127" s="241"/>
      <c r="AA127" s="238"/>
      <c r="AB127" s="241"/>
      <c r="AC127" s="242"/>
      <c r="AD127" s="241"/>
      <c r="AE127" s="238"/>
    </row>
    <row r="128" ht="15.75" customHeight="1">
      <c r="C128" s="266"/>
      <c r="F128" s="96"/>
      <c r="G128" s="96"/>
      <c r="H128" s="241"/>
      <c r="I128" s="238"/>
      <c r="J128" s="241"/>
      <c r="K128" s="239"/>
      <c r="L128" s="242"/>
      <c r="M128" s="96"/>
      <c r="N128" s="241"/>
      <c r="O128" s="238"/>
      <c r="P128" s="241"/>
      <c r="Q128" s="238"/>
      <c r="R128" s="241"/>
      <c r="S128" s="238"/>
      <c r="T128" s="241"/>
      <c r="U128" s="238"/>
      <c r="V128" s="241"/>
      <c r="W128" s="238"/>
      <c r="X128" s="241"/>
      <c r="Y128" s="238"/>
      <c r="Z128" s="241"/>
      <c r="AA128" s="238"/>
      <c r="AB128" s="241"/>
      <c r="AC128" s="242"/>
      <c r="AD128" s="241"/>
      <c r="AE128" s="238"/>
    </row>
    <row r="129" ht="15.75" customHeight="1">
      <c r="C129" s="266"/>
      <c r="F129" s="96"/>
      <c r="G129" s="96"/>
      <c r="H129" s="241"/>
      <c r="I129" s="238"/>
      <c r="J129" s="241"/>
      <c r="K129" s="239"/>
      <c r="L129" s="242"/>
      <c r="M129" s="96"/>
      <c r="N129" s="241"/>
      <c r="O129" s="238"/>
      <c r="P129" s="241"/>
      <c r="Q129" s="238"/>
      <c r="R129" s="241"/>
      <c r="S129" s="238"/>
      <c r="T129" s="241"/>
      <c r="U129" s="238"/>
      <c r="V129" s="241"/>
      <c r="W129" s="238"/>
      <c r="X129" s="241"/>
      <c r="Y129" s="238"/>
      <c r="Z129" s="241"/>
      <c r="AA129" s="238"/>
      <c r="AB129" s="241"/>
      <c r="AC129" s="242"/>
      <c r="AD129" s="241"/>
      <c r="AE129" s="238"/>
    </row>
    <row r="130" ht="15.75" customHeight="1">
      <c r="C130" s="266"/>
      <c r="F130" s="96"/>
      <c r="G130" s="96"/>
      <c r="H130" s="241"/>
      <c r="I130" s="238"/>
      <c r="J130" s="241"/>
      <c r="K130" s="239"/>
      <c r="L130" s="242"/>
      <c r="M130" s="96"/>
      <c r="N130" s="241"/>
      <c r="O130" s="238"/>
      <c r="P130" s="241"/>
      <c r="Q130" s="238"/>
      <c r="R130" s="241"/>
      <c r="S130" s="238"/>
      <c r="T130" s="241"/>
      <c r="U130" s="238"/>
      <c r="V130" s="241"/>
      <c r="W130" s="238"/>
      <c r="X130" s="241"/>
      <c r="Y130" s="238"/>
      <c r="Z130" s="241"/>
      <c r="AA130" s="238"/>
      <c r="AB130" s="241"/>
      <c r="AC130" s="242"/>
      <c r="AD130" s="241"/>
      <c r="AE130" s="238"/>
    </row>
    <row r="131" ht="15.75" customHeight="1">
      <c r="C131" s="266"/>
      <c r="F131" s="96"/>
      <c r="G131" s="96"/>
      <c r="H131" s="241"/>
      <c r="I131" s="238"/>
      <c r="J131" s="241"/>
      <c r="K131" s="239"/>
      <c r="L131" s="242"/>
      <c r="M131" s="96"/>
      <c r="N131" s="241"/>
      <c r="O131" s="238"/>
      <c r="P131" s="241"/>
      <c r="Q131" s="238"/>
      <c r="R131" s="241"/>
      <c r="S131" s="238"/>
      <c r="T131" s="241"/>
      <c r="U131" s="238"/>
      <c r="V131" s="241"/>
      <c r="W131" s="238"/>
      <c r="X131" s="241"/>
      <c r="Y131" s="238"/>
      <c r="Z131" s="241"/>
      <c r="AA131" s="238"/>
      <c r="AB131" s="241"/>
      <c r="AC131" s="242"/>
      <c r="AD131" s="241"/>
      <c r="AE131" s="238"/>
    </row>
    <row r="132" ht="15.75" customHeight="1">
      <c r="C132" s="266"/>
      <c r="F132" s="96"/>
      <c r="G132" s="96"/>
      <c r="H132" s="241"/>
      <c r="I132" s="238"/>
      <c r="J132" s="241"/>
      <c r="K132" s="239"/>
      <c r="L132" s="242"/>
      <c r="M132" s="96"/>
      <c r="N132" s="241"/>
      <c r="O132" s="238"/>
      <c r="P132" s="241"/>
      <c r="Q132" s="238"/>
      <c r="R132" s="241"/>
      <c r="S132" s="238"/>
      <c r="T132" s="241"/>
      <c r="U132" s="238"/>
      <c r="V132" s="241"/>
      <c r="W132" s="238"/>
      <c r="X132" s="241"/>
      <c r="Y132" s="238"/>
      <c r="Z132" s="241"/>
      <c r="AA132" s="238"/>
      <c r="AB132" s="241"/>
      <c r="AC132" s="242"/>
      <c r="AD132" s="241"/>
      <c r="AE132" s="238"/>
    </row>
    <row r="133" ht="15.75" customHeight="1">
      <c r="C133" s="266"/>
      <c r="F133" s="96"/>
      <c r="G133" s="96"/>
      <c r="H133" s="241"/>
      <c r="I133" s="238"/>
      <c r="J133" s="241"/>
      <c r="K133" s="239"/>
      <c r="L133" s="242"/>
      <c r="M133" s="96"/>
      <c r="N133" s="241"/>
      <c r="O133" s="238"/>
      <c r="P133" s="241"/>
      <c r="Q133" s="238"/>
      <c r="R133" s="241"/>
      <c r="S133" s="238"/>
      <c r="T133" s="241"/>
      <c r="U133" s="238"/>
      <c r="V133" s="241"/>
      <c r="W133" s="238"/>
      <c r="X133" s="241"/>
      <c r="Y133" s="238"/>
      <c r="Z133" s="241"/>
      <c r="AA133" s="238"/>
      <c r="AB133" s="241"/>
      <c r="AC133" s="242"/>
      <c r="AD133" s="241"/>
      <c r="AE133" s="238"/>
    </row>
    <row r="134" ht="15.75" customHeight="1">
      <c r="C134" s="266"/>
      <c r="F134" s="96"/>
      <c r="G134" s="96"/>
      <c r="H134" s="241"/>
      <c r="I134" s="238"/>
      <c r="J134" s="241"/>
      <c r="K134" s="239"/>
      <c r="L134" s="242"/>
      <c r="M134" s="96"/>
      <c r="N134" s="241"/>
      <c r="O134" s="238"/>
      <c r="P134" s="241"/>
      <c r="Q134" s="238"/>
      <c r="R134" s="241"/>
      <c r="S134" s="238"/>
      <c r="T134" s="241"/>
      <c r="U134" s="238"/>
      <c r="V134" s="241"/>
      <c r="W134" s="238"/>
      <c r="X134" s="241"/>
      <c r="Y134" s="238"/>
      <c r="Z134" s="241"/>
      <c r="AA134" s="238"/>
      <c r="AB134" s="241"/>
      <c r="AC134" s="242"/>
      <c r="AD134" s="241"/>
      <c r="AE134" s="238"/>
    </row>
    <row r="135" ht="15.75" customHeight="1">
      <c r="C135" s="266"/>
      <c r="F135" s="96"/>
      <c r="G135" s="96"/>
      <c r="H135" s="241"/>
      <c r="I135" s="238"/>
      <c r="J135" s="241"/>
      <c r="K135" s="239"/>
      <c r="L135" s="242"/>
      <c r="M135" s="96"/>
      <c r="N135" s="241"/>
      <c r="O135" s="238"/>
      <c r="P135" s="241"/>
      <c r="Q135" s="238"/>
      <c r="R135" s="241"/>
      <c r="S135" s="238"/>
      <c r="T135" s="241"/>
      <c r="U135" s="238"/>
      <c r="V135" s="241"/>
      <c r="W135" s="238"/>
      <c r="X135" s="241"/>
      <c r="Y135" s="238"/>
      <c r="Z135" s="241"/>
      <c r="AA135" s="238"/>
      <c r="AB135" s="241"/>
      <c r="AC135" s="242"/>
      <c r="AD135" s="241"/>
      <c r="AE135" s="238"/>
    </row>
    <row r="136" ht="15.75" customHeight="1">
      <c r="C136" s="266"/>
      <c r="F136" s="96"/>
      <c r="G136" s="96"/>
      <c r="H136" s="241"/>
      <c r="I136" s="238"/>
      <c r="J136" s="241"/>
      <c r="K136" s="239"/>
      <c r="L136" s="242"/>
      <c r="M136" s="96"/>
      <c r="N136" s="241"/>
      <c r="O136" s="238"/>
      <c r="P136" s="241"/>
      <c r="Q136" s="238"/>
      <c r="R136" s="241"/>
      <c r="S136" s="238"/>
      <c r="T136" s="241"/>
      <c r="U136" s="238"/>
      <c r="V136" s="241"/>
      <c r="W136" s="238"/>
      <c r="X136" s="241"/>
      <c r="Y136" s="238"/>
      <c r="Z136" s="241"/>
      <c r="AA136" s="238"/>
      <c r="AB136" s="241"/>
      <c r="AC136" s="242"/>
      <c r="AD136" s="241"/>
      <c r="AE136" s="238"/>
    </row>
    <row r="137" ht="15.75" customHeight="1">
      <c r="C137" s="266"/>
      <c r="F137" s="96"/>
      <c r="G137" s="96"/>
      <c r="H137" s="241"/>
      <c r="I137" s="238"/>
      <c r="J137" s="241"/>
      <c r="K137" s="239"/>
      <c r="L137" s="242"/>
      <c r="M137" s="96"/>
      <c r="N137" s="241"/>
      <c r="O137" s="238"/>
      <c r="P137" s="241"/>
      <c r="Q137" s="238"/>
      <c r="R137" s="241"/>
      <c r="S137" s="238"/>
      <c r="T137" s="241"/>
      <c r="U137" s="238"/>
      <c r="V137" s="241"/>
      <c r="W137" s="238"/>
      <c r="X137" s="241"/>
      <c r="Y137" s="238"/>
      <c r="Z137" s="241"/>
      <c r="AA137" s="238"/>
      <c r="AB137" s="241"/>
      <c r="AC137" s="242"/>
      <c r="AD137" s="241"/>
      <c r="AE137" s="238"/>
    </row>
    <row r="138" ht="15.75" customHeight="1">
      <c r="C138" s="266"/>
      <c r="F138" s="96"/>
      <c r="G138" s="96"/>
      <c r="H138" s="241"/>
      <c r="I138" s="238"/>
      <c r="J138" s="241"/>
      <c r="K138" s="239"/>
      <c r="L138" s="242"/>
      <c r="M138" s="96"/>
      <c r="N138" s="241"/>
      <c r="O138" s="238"/>
      <c r="P138" s="241"/>
      <c r="Q138" s="238"/>
      <c r="R138" s="241"/>
      <c r="S138" s="238"/>
      <c r="T138" s="241"/>
      <c r="U138" s="238"/>
      <c r="V138" s="241"/>
      <c r="W138" s="238"/>
      <c r="X138" s="241"/>
      <c r="Y138" s="238"/>
      <c r="Z138" s="241"/>
      <c r="AA138" s="238"/>
      <c r="AB138" s="241"/>
      <c r="AC138" s="242"/>
      <c r="AD138" s="241"/>
      <c r="AE138" s="238"/>
    </row>
    <row r="139" ht="15.75" customHeight="1">
      <c r="C139" s="266"/>
      <c r="F139" s="96"/>
      <c r="G139" s="96"/>
      <c r="H139" s="241"/>
      <c r="I139" s="238"/>
      <c r="J139" s="241"/>
      <c r="K139" s="239"/>
      <c r="L139" s="242"/>
      <c r="M139" s="96"/>
      <c r="N139" s="241"/>
      <c r="O139" s="238"/>
      <c r="P139" s="241"/>
      <c r="Q139" s="238"/>
      <c r="R139" s="241"/>
      <c r="S139" s="238"/>
      <c r="T139" s="241"/>
      <c r="U139" s="238"/>
      <c r="V139" s="241"/>
      <c r="W139" s="238"/>
      <c r="X139" s="241"/>
      <c r="Y139" s="238"/>
      <c r="Z139" s="241"/>
      <c r="AA139" s="238"/>
      <c r="AB139" s="241"/>
      <c r="AC139" s="242"/>
      <c r="AD139" s="241"/>
      <c r="AE139" s="238"/>
    </row>
    <row r="140" ht="15.75" customHeight="1">
      <c r="C140" s="266"/>
      <c r="F140" s="96"/>
      <c r="G140" s="96"/>
      <c r="H140" s="241"/>
      <c r="I140" s="238"/>
      <c r="J140" s="241"/>
      <c r="K140" s="239"/>
      <c r="L140" s="242"/>
      <c r="M140" s="96"/>
      <c r="N140" s="241"/>
      <c r="O140" s="238"/>
      <c r="P140" s="241"/>
      <c r="Q140" s="238"/>
      <c r="R140" s="241"/>
      <c r="S140" s="238"/>
      <c r="T140" s="241"/>
      <c r="U140" s="238"/>
      <c r="V140" s="241"/>
      <c r="W140" s="238"/>
      <c r="X140" s="241"/>
      <c r="Y140" s="238"/>
      <c r="Z140" s="241"/>
      <c r="AA140" s="238"/>
      <c r="AB140" s="241"/>
      <c r="AC140" s="242"/>
      <c r="AD140" s="241"/>
      <c r="AE140" s="238"/>
    </row>
    <row r="141" ht="15.75" customHeight="1">
      <c r="C141" s="266"/>
      <c r="F141" s="96"/>
      <c r="G141" s="96"/>
      <c r="H141" s="241"/>
      <c r="I141" s="238"/>
      <c r="J141" s="241"/>
      <c r="K141" s="239"/>
      <c r="L141" s="242"/>
      <c r="M141" s="96"/>
      <c r="N141" s="241"/>
      <c r="O141" s="238"/>
      <c r="P141" s="241"/>
      <c r="Q141" s="238"/>
      <c r="R141" s="241"/>
      <c r="S141" s="238"/>
      <c r="T141" s="241"/>
      <c r="U141" s="238"/>
      <c r="V141" s="241"/>
      <c r="W141" s="238"/>
      <c r="X141" s="241"/>
      <c r="Y141" s="238"/>
      <c r="Z141" s="241"/>
      <c r="AA141" s="238"/>
      <c r="AB141" s="241"/>
      <c r="AC141" s="242"/>
      <c r="AD141" s="241"/>
      <c r="AE141" s="238"/>
    </row>
    <row r="142" ht="15.75" customHeight="1">
      <c r="C142" s="266"/>
      <c r="F142" s="96"/>
      <c r="G142" s="96"/>
      <c r="H142" s="241"/>
      <c r="I142" s="238"/>
      <c r="J142" s="241"/>
      <c r="K142" s="239"/>
      <c r="L142" s="242"/>
      <c r="M142" s="96"/>
      <c r="N142" s="241"/>
      <c r="O142" s="238"/>
      <c r="P142" s="241"/>
      <c r="Q142" s="238"/>
      <c r="R142" s="241"/>
      <c r="S142" s="238"/>
      <c r="T142" s="241"/>
      <c r="U142" s="238"/>
      <c r="V142" s="241"/>
      <c r="W142" s="238"/>
      <c r="X142" s="241"/>
      <c r="Y142" s="238"/>
      <c r="Z142" s="241"/>
      <c r="AA142" s="238"/>
      <c r="AB142" s="241"/>
      <c r="AC142" s="242"/>
      <c r="AD142" s="241"/>
      <c r="AE142" s="238"/>
    </row>
    <row r="143" ht="15.75" customHeight="1">
      <c r="C143" s="266"/>
      <c r="F143" s="96"/>
      <c r="G143" s="96"/>
      <c r="H143" s="241"/>
      <c r="I143" s="238"/>
      <c r="J143" s="241"/>
      <c r="K143" s="239"/>
      <c r="L143" s="242"/>
      <c r="M143" s="96"/>
      <c r="N143" s="241"/>
      <c r="O143" s="238"/>
      <c r="P143" s="241"/>
      <c r="Q143" s="238"/>
      <c r="R143" s="241"/>
      <c r="S143" s="238"/>
      <c r="T143" s="241"/>
      <c r="U143" s="238"/>
      <c r="V143" s="241"/>
      <c r="W143" s="238"/>
      <c r="X143" s="241"/>
      <c r="Y143" s="238"/>
      <c r="Z143" s="241"/>
      <c r="AA143" s="238"/>
      <c r="AB143" s="241"/>
      <c r="AC143" s="242"/>
      <c r="AD143" s="241"/>
      <c r="AE143" s="238"/>
    </row>
    <row r="144" ht="15.75" customHeight="1">
      <c r="C144" s="266"/>
      <c r="F144" s="96"/>
      <c r="G144" s="96"/>
      <c r="H144" s="241"/>
      <c r="I144" s="238"/>
      <c r="J144" s="241"/>
      <c r="K144" s="239"/>
      <c r="L144" s="242"/>
      <c r="M144" s="96"/>
      <c r="N144" s="241"/>
      <c r="O144" s="238"/>
      <c r="P144" s="241"/>
      <c r="Q144" s="238"/>
      <c r="R144" s="241"/>
      <c r="S144" s="238"/>
      <c r="T144" s="241"/>
      <c r="U144" s="238"/>
      <c r="V144" s="241"/>
      <c r="W144" s="238"/>
      <c r="X144" s="241"/>
      <c r="Y144" s="238"/>
      <c r="Z144" s="241"/>
      <c r="AA144" s="238"/>
      <c r="AB144" s="241"/>
      <c r="AC144" s="242"/>
      <c r="AD144" s="241"/>
      <c r="AE144" s="238"/>
    </row>
    <row r="145" ht="15.75" customHeight="1">
      <c r="C145" s="266"/>
      <c r="F145" s="96"/>
      <c r="G145" s="96"/>
      <c r="H145" s="241"/>
      <c r="I145" s="238"/>
      <c r="J145" s="241"/>
      <c r="K145" s="239"/>
      <c r="L145" s="242"/>
      <c r="M145" s="96"/>
      <c r="N145" s="241"/>
      <c r="O145" s="238"/>
      <c r="P145" s="241"/>
      <c r="Q145" s="238"/>
      <c r="R145" s="241"/>
      <c r="S145" s="238"/>
      <c r="T145" s="241"/>
      <c r="U145" s="238"/>
      <c r="V145" s="241"/>
      <c r="W145" s="238"/>
      <c r="X145" s="241"/>
      <c r="Y145" s="238"/>
      <c r="Z145" s="241"/>
      <c r="AA145" s="238"/>
      <c r="AB145" s="241"/>
      <c r="AC145" s="242"/>
      <c r="AD145" s="241"/>
      <c r="AE145" s="238"/>
    </row>
    <row r="146" ht="15.75" customHeight="1">
      <c r="C146" s="266"/>
      <c r="F146" s="96"/>
      <c r="G146" s="96"/>
      <c r="H146" s="241"/>
      <c r="I146" s="238"/>
      <c r="J146" s="241"/>
      <c r="K146" s="239"/>
      <c r="L146" s="242"/>
      <c r="M146" s="96"/>
      <c r="N146" s="241"/>
      <c r="O146" s="238"/>
      <c r="P146" s="241"/>
      <c r="Q146" s="238"/>
      <c r="R146" s="241"/>
      <c r="S146" s="238"/>
      <c r="T146" s="241"/>
      <c r="U146" s="238"/>
      <c r="V146" s="241"/>
      <c r="W146" s="238"/>
      <c r="X146" s="241"/>
      <c r="Y146" s="238"/>
      <c r="Z146" s="241"/>
      <c r="AA146" s="238"/>
      <c r="AB146" s="241"/>
      <c r="AC146" s="242"/>
      <c r="AD146" s="241"/>
      <c r="AE146" s="238"/>
    </row>
    <row r="147" ht="15.75" customHeight="1">
      <c r="C147" s="266"/>
      <c r="F147" s="96"/>
      <c r="G147" s="96"/>
      <c r="H147" s="241"/>
      <c r="I147" s="238"/>
      <c r="J147" s="241"/>
      <c r="K147" s="239"/>
      <c r="L147" s="242"/>
      <c r="M147" s="96"/>
      <c r="N147" s="241"/>
      <c r="O147" s="238"/>
      <c r="P147" s="241"/>
      <c r="Q147" s="238"/>
      <c r="R147" s="241"/>
      <c r="S147" s="238"/>
      <c r="T147" s="241"/>
      <c r="U147" s="238"/>
      <c r="V147" s="241"/>
      <c r="W147" s="238"/>
      <c r="X147" s="241"/>
      <c r="Y147" s="238"/>
      <c r="Z147" s="241"/>
      <c r="AA147" s="238"/>
      <c r="AB147" s="241"/>
      <c r="AC147" s="242"/>
      <c r="AD147" s="241"/>
      <c r="AE147" s="238"/>
    </row>
    <row r="148" ht="15.75" customHeight="1">
      <c r="C148" s="266"/>
      <c r="F148" s="96"/>
      <c r="G148" s="96"/>
      <c r="H148" s="241"/>
      <c r="I148" s="238"/>
      <c r="J148" s="241"/>
      <c r="K148" s="239"/>
      <c r="L148" s="242"/>
      <c r="M148" s="96"/>
      <c r="N148" s="241"/>
      <c r="O148" s="238"/>
      <c r="P148" s="241"/>
      <c r="Q148" s="238"/>
      <c r="R148" s="241"/>
      <c r="S148" s="238"/>
      <c r="T148" s="241"/>
      <c r="U148" s="238"/>
      <c r="V148" s="241"/>
      <c r="W148" s="238"/>
      <c r="X148" s="241"/>
      <c r="Y148" s="238"/>
      <c r="Z148" s="241"/>
      <c r="AA148" s="238"/>
      <c r="AB148" s="241"/>
      <c r="AC148" s="242"/>
      <c r="AD148" s="241"/>
      <c r="AE148" s="238"/>
    </row>
    <row r="149" ht="15.75" customHeight="1">
      <c r="C149" s="266"/>
      <c r="F149" s="96"/>
      <c r="G149" s="96"/>
      <c r="H149" s="241"/>
      <c r="I149" s="238"/>
      <c r="J149" s="241"/>
      <c r="K149" s="239"/>
      <c r="L149" s="242"/>
      <c r="M149" s="96"/>
      <c r="N149" s="241"/>
      <c r="O149" s="238"/>
      <c r="P149" s="241"/>
      <c r="Q149" s="238"/>
      <c r="R149" s="241"/>
      <c r="S149" s="238"/>
      <c r="T149" s="241"/>
      <c r="U149" s="238"/>
      <c r="V149" s="241"/>
      <c r="W149" s="238"/>
      <c r="X149" s="241"/>
      <c r="Y149" s="238"/>
      <c r="Z149" s="241"/>
      <c r="AA149" s="238"/>
      <c r="AB149" s="241"/>
      <c r="AC149" s="242"/>
      <c r="AD149" s="241"/>
      <c r="AE149" s="238"/>
    </row>
    <row r="150" ht="15.75" customHeight="1">
      <c r="C150" s="266"/>
      <c r="F150" s="96"/>
      <c r="G150" s="96"/>
      <c r="H150" s="241"/>
      <c r="I150" s="238"/>
      <c r="J150" s="241"/>
      <c r="K150" s="239"/>
      <c r="L150" s="242"/>
      <c r="M150" s="96"/>
      <c r="N150" s="241"/>
      <c r="O150" s="238"/>
      <c r="P150" s="241"/>
      <c r="Q150" s="238"/>
      <c r="R150" s="241"/>
      <c r="S150" s="238"/>
      <c r="T150" s="241"/>
      <c r="U150" s="238"/>
      <c r="V150" s="241"/>
      <c r="W150" s="238"/>
      <c r="X150" s="241"/>
      <c r="Y150" s="238"/>
      <c r="Z150" s="241"/>
      <c r="AA150" s="238"/>
      <c r="AB150" s="241"/>
      <c r="AC150" s="242"/>
      <c r="AD150" s="241"/>
      <c r="AE150" s="238"/>
    </row>
    <row r="151" ht="15.75" customHeight="1">
      <c r="C151" s="266"/>
      <c r="F151" s="96"/>
      <c r="G151" s="96"/>
      <c r="H151" s="241"/>
      <c r="I151" s="238"/>
      <c r="J151" s="241"/>
      <c r="K151" s="239"/>
      <c r="L151" s="242"/>
      <c r="M151" s="96"/>
      <c r="N151" s="241"/>
      <c r="O151" s="238"/>
      <c r="P151" s="241"/>
      <c r="Q151" s="238"/>
      <c r="R151" s="241"/>
      <c r="S151" s="238"/>
      <c r="T151" s="241"/>
      <c r="U151" s="238"/>
      <c r="V151" s="241"/>
      <c r="W151" s="238"/>
      <c r="X151" s="241"/>
      <c r="Y151" s="238"/>
      <c r="Z151" s="241"/>
      <c r="AA151" s="238"/>
      <c r="AB151" s="241"/>
      <c r="AC151" s="242"/>
      <c r="AD151" s="241"/>
      <c r="AE151" s="238"/>
    </row>
    <row r="152" ht="15.75" customHeight="1">
      <c r="C152" s="266"/>
      <c r="F152" s="96"/>
      <c r="G152" s="96"/>
      <c r="H152" s="241"/>
      <c r="I152" s="238"/>
      <c r="J152" s="241"/>
      <c r="K152" s="239"/>
      <c r="L152" s="242"/>
      <c r="M152" s="96"/>
      <c r="N152" s="241"/>
      <c r="O152" s="238"/>
      <c r="P152" s="241"/>
      <c r="Q152" s="238"/>
      <c r="R152" s="241"/>
      <c r="S152" s="238"/>
      <c r="T152" s="241"/>
      <c r="U152" s="238"/>
      <c r="V152" s="241"/>
      <c r="W152" s="238"/>
      <c r="X152" s="241"/>
      <c r="Y152" s="238"/>
      <c r="Z152" s="241"/>
      <c r="AA152" s="238"/>
      <c r="AB152" s="241"/>
      <c r="AC152" s="242"/>
      <c r="AD152" s="241"/>
      <c r="AE152" s="238"/>
    </row>
    <row r="153" ht="15.75" customHeight="1">
      <c r="C153" s="266"/>
      <c r="F153" s="96"/>
      <c r="G153" s="96"/>
      <c r="H153" s="241"/>
      <c r="I153" s="238"/>
      <c r="J153" s="241"/>
      <c r="K153" s="239"/>
      <c r="L153" s="242"/>
      <c r="M153" s="96"/>
      <c r="N153" s="241"/>
      <c r="O153" s="238"/>
      <c r="P153" s="241"/>
      <c r="Q153" s="238"/>
      <c r="R153" s="241"/>
      <c r="S153" s="238"/>
      <c r="T153" s="241"/>
      <c r="U153" s="238"/>
      <c r="V153" s="241"/>
      <c r="W153" s="238"/>
      <c r="X153" s="241"/>
      <c r="Y153" s="238"/>
      <c r="Z153" s="241"/>
      <c r="AA153" s="238"/>
      <c r="AB153" s="241"/>
      <c r="AC153" s="242"/>
      <c r="AD153" s="241"/>
      <c r="AE153" s="238"/>
    </row>
    <row r="154" ht="15.75" customHeight="1">
      <c r="C154" s="266"/>
      <c r="F154" s="96"/>
      <c r="G154" s="96"/>
      <c r="H154" s="241"/>
      <c r="I154" s="238"/>
      <c r="J154" s="241"/>
      <c r="K154" s="239"/>
      <c r="L154" s="242"/>
      <c r="M154" s="96"/>
      <c r="N154" s="241"/>
      <c r="O154" s="238"/>
      <c r="P154" s="241"/>
      <c r="Q154" s="238"/>
      <c r="R154" s="241"/>
      <c r="S154" s="238"/>
      <c r="T154" s="241"/>
      <c r="U154" s="238"/>
      <c r="V154" s="241"/>
      <c r="W154" s="238"/>
      <c r="X154" s="241"/>
      <c r="Y154" s="238"/>
      <c r="Z154" s="241"/>
      <c r="AA154" s="238"/>
      <c r="AB154" s="241"/>
      <c r="AC154" s="242"/>
      <c r="AD154" s="241"/>
      <c r="AE154" s="238"/>
    </row>
    <row r="155" ht="15.75" customHeight="1">
      <c r="C155" s="266"/>
      <c r="F155" s="96"/>
      <c r="G155" s="96"/>
      <c r="H155" s="241"/>
      <c r="I155" s="238"/>
      <c r="J155" s="241"/>
      <c r="K155" s="239"/>
      <c r="L155" s="242"/>
      <c r="M155" s="96"/>
      <c r="N155" s="241"/>
      <c r="O155" s="238"/>
      <c r="P155" s="241"/>
      <c r="Q155" s="238"/>
      <c r="R155" s="241"/>
      <c r="S155" s="238"/>
      <c r="T155" s="241"/>
      <c r="U155" s="238"/>
      <c r="V155" s="241"/>
      <c r="W155" s="238"/>
      <c r="X155" s="241"/>
      <c r="Y155" s="238"/>
      <c r="Z155" s="241"/>
      <c r="AA155" s="238"/>
      <c r="AB155" s="241"/>
      <c r="AC155" s="242"/>
      <c r="AD155" s="241"/>
      <c r="AE155" s="238"/>
    </row>
    <row r="156" ht="15.75" customHeight="1">
      <c r="C156" s="266"/>
      <c r="F156" s="96"/>
      <c r="G156" s="96"/>
      <c r="H156" s="241"/>
      <c r="I156" s="238"/>
      <c r="J156" s="241"/>
      <c r="K156" s="239"/>
      <c r="L156" s="242"/>
      <c r="M156" s="96"/>
      <c r="N156" s="241"/>
      <c r="O156" s="238"/>
      <c r="P156" s="241"/>
      <c r="Q156" s="238"/>
      <c r="R156" s="241"/>
      <c r="S156" s="238"/>
      <c r="T156" s="241"/>
      <c r="U156" s="238"/>
      <c r="V156" s="241"/>
      <c r="W156" s="238"/>
      <c r="X156" s="241"/>
      <c r="Y156" s="238"/>
      <c r="Z156" s="241"/>
      <c r="AA156" s="238"/>
      <c r="AB156" s="241"/>
      <c r="AC156" s="242"/>
      <c r="AD156" s="241"/>
      <c r="AE156" s="238"/>
    </row>
    <row r="157" ht="15.75" customHeight="1">
      <c r="C157" s="266"/>
      <c r="F157" s="96"/>
      <c r="G157" s="96"/>
      <c r="H157" s="241"/>
      <c r="I157" s="238"/>
      <c r="J157" s="241"/>
      <c r="K157" s="239"/>
      <c r="L157" s="242"/>
      <c r="M157" s="96"/>
      <c r="N157" s="241"/>
      <c r="O157" s="238"/>
      <c r="P157" s="241"/>
      <c r="Q157" s="238"/>
      <c r="R157" s="241"/>
      <c r="S157" s="238"/>
      <c r="T157" s="241"/>
      <c r="U157" s="238"/>
      <c r="V157" s="241"/>
      <c r="W157" s="238"/>
      <c r="X157" s="241"/>
      <c r="Y157" s="238"/>
      <c r="Z157" s="241"/>
      <c r="AA157" s="238"/>
      <c r="AB157" s="241"/>
      <c r="AC157" s="242"/>
      <c r="AD157" s="241"/>
      <c r="AE157" s="238"/>
    </row>
    <row r="158" ht="15.75" customHeight="1">
      <c r="C158" s="266"/>
      <c r="F158" s="96"/>
      <c r="G158" s="96"/>
      <c r="H158" s="241"/>
      <c r="I158" s="238"/>
      <c r="J158" s="241"/>
      <c r="K158" s="239"/>
      <c r="L158" s="242"/>
      <c r="M158" s="96"/>
      <c r="N158" s="241"/>
      <c r="O158" s="238"/>
      <c r="P158" s="241"/>
      <c r="Q158" s="238"/>
      <c r="R158" s="241"/>
      <c r="S158" s="238"/>
      <c r="T158" s="241"/>
      <c r="U158" s="238"/>
      <c r="V158" s="241"/>
      <c r="W158" s="238"/>
      <c r="X158" s="241"/>
      <c r="Y158" s="238"/>
      <c r="Z158" s="241"/>
      <c r="AA158" s="238"/>
      <c r="AB158" s="241"/>
      <c r="AC158" s="242"/>
      <c r="AD158" s="241"/>
      <c r="AE158" s="238"/>
    </row>
    <row r="159" ht="15.75" customHeight="1">
      <c r="C159" s="266"/>
      <c r="F159" s="96"/>
      <c r="G159" s="96"/>
      <c r="H159" s="241"/>
      <c r="I159" s="238"/>
      <c r="J159" s="241"/>
      <c r="K159" s="239"/>
      <c r="L159" s="242"/>
      <c r="M159" s="96"/>
      <c r="N159" s="241"/>
      <c r="O159" s="238"/>
      <c r="P159" s="241"/>
      <c r="Q159" s="238"/>
      <c r="R159" s="241"/>
      <c r="S159" s="238"/>
      <c r="T159" s="241"/>
      <c r="U159" s="238"/>
      <c r="V159" s="241"/>
      <c r="W159" s="238"/>
      <c r="X159" s="241"/>
      <c r="Y159" s="238"/>
      <c r="Z159" s="241"/>
      <c r="AA159" s="238"/>
      <c r="AB159" s="241"/>
      <c r="AC159" s="242"/>
      <c r="AD159" s="241"/>
      <c r="AE159" s="238"/>
    </row>
    <row r="160" ht="15.75" customHeight="1">
      <c r="C160" s="266"/>
      <c r="F160" s="96"/>
      <c r="G160" s="96"/>
      <c r="H160" s="241"/>
      <c r="I160" s="238"/>
      <c r="J160" s="241"/>
      <c r="K160" s="239"/>
      <c r="L160" s="242"/>
      <c r="M160" s="96"/>
      <c r="N160" s="241"/>
      <c r="O160" s="238"/>
      <c r="P160" s="241"/>
      <c r="Q160" s="238"/>
      <c r="R160" s="241"/>
      <c r="S160" s="238"/>
      <c r="T160" s="241"/>
      <c r="U160" s="238"/>
      <c r="V160" s="241"/>
      <c r="W160" s="238"/>
      <c r="X160" s="241"/>
      <c r="Y160" s="238"/>
      <c r="Z160" s="241"/>
      <c r="AA160" s="238"/>
      <c r="AB160" s="241"/>
      <c r="AC160" s="242"/>
      <c r="AD160" s="241"/>
      <c r="AE160" s="238"/>
    </row>
    <row r="161" ht="15.75" customHeight="1">
      <c r="C161" s="266"/>
      <c r="F161" s="96"/>
      <c r="G161" s="96"/>
      <c r="H161" s="241"/>
      <c r="I161" s="238"/>
      <c r="J161" s="241"/>
      <c r="K161" s="239"/>
      <c r="L161" s="242"/>
      <c r="M161" s="96"/>
      <c r="N161" s="241"/>
      <c r="O161" s="238"/>
      <c r="P161" s="241"/>
      <c r="Q161" s="238"/>
      <c r="R161" s="241"/>
      <c r="S161" s="238"/>
      <c r="T161" s="241"/>
      <c r="U161" s="238"/>
      <c r="V161" s="241"/>
      <c r="W161" s="238"/>
      <c r="X161" s="241"/>
      <c r="Y161" s="238"/>
      <c r="Z161" s="241"/>
      <c r="AA161" s="238"/>
      <c r="AB161" s="241"/>
      <c r="AC161" s="242"/>
      <c r="AD161" s="241"/>
      <c r="AE161" s="238"/>
    </row>
    <row r="162" ht="15.75" customHeight="1">
      <c r="C162" s="266"/>
      <c r="F162" s="96"/>
      <c r="G162" s="96"/>
      <c r="H162" s="241"/>
      <c r="I162" s="238"/>
      <c r="J162" s="241"/>
      <c r="K162" s="239"/>
      <c r="L162" s="242"/>
      <c r="M162" s="96"/>
      <c r="N162" s="241"/>
      <c r="O162" s="238"/>
      <c r="P162" s="241"/>
      <c r="Q162" s="238"/>
      <c r="R162" s="241"/>
      <c r="S162" s="238"/>
      <c r="T162" s="241"/>
      <c r="U162" s="238"/>
      <c r="V162" s="241"/>
      <c r="W162" s="238"/>
      <c r="X162" s="241"/>
      <c r="Y162" s="238"/>
      <c r="Z162" s="241"/>
      <c r="AA162" s="238"/>
      <c r="AB162" s="241"/>
      <c r="AC162" s="242"/>
      <c r="AD162" s="241"/>
      <c r="AE162" s="238"/>
    </row>
    <row r="163" ht="15.75" customHeight="1">
      <c r="C163" s="266"/>
      <c r="F163" s="96"/>
      <c r="G163" s="96"/>
      <c r="H163" s="241"/>
      <c r="I163" s="238"/>
      <c r="J163" s="241"/>
      <c r="K163" s="239"/>
      <c r="L163" s="242"/>
      <c r="M163" s="96"/>
      <c r="N163" s="241"/>
      <c r="O163" s="238"/>
      <c r="P163" s="241"/>
      <c r="Q163" s="238"/>
      <c r="R163" s="241"/>
      <c r="S163" s="238"/>
      <c r="T163" s="241"/>
      <c r="U163" s="238"/>
      <c r="V163" s="241"/>
      <c r="W163" s="238"/>
      <c r="X163" s="241"/>
      <c r="Y163" s="238"/>
      <c r="Z163" s="241"/>
      <c r="AA163" s="238"/>
      <c r="AB163" s="241"/>
      <c r="AC163" s="242"/>
      <c r="AD163" s="241"/>
      <c r="AE163" s="238"/>
    </row>
    <row r="164" ht="15.75" customHeight="1">
      <c r="C164" s="266"/>
      <c r="F164" s="96"/>
      <c r="G164" s="96"/>
      <c r="H164" s="241"/>
      <c r="I164" s="238"/>
      <c r="J164" s="241"/>
      <c r="K164" s="239"/>
      <c r="L164" s="242"/>
      <c r="M164" s="96"/>
      <c r="N164" s="241"/>
      <c r="O164" s="238"/>
      <c r="P164" s="241"/>
      <c r="Q164" s="238"/>
      <c r="R164" s="241"/>
      <c r="S164" s="238"/>
      <c r="T164" s="241"/>
      <c r="U164" s="238"/>
      <c r="V164" s="241"/>
      <c r="W164" s="238"/>
      <c r="X164" s="241"/>
      <c r="Y164" s="238"/>
      <c r="Z164" s="241"/>
      <c r="AA164" s="238"/>
      <c r="AB164" s="241"/>
      <c r="AC164" s="242"/>
      <c r="AD164" s="241"/>
      <c r="AE164" s="238"/>
    </row>
    <row r="165" ht="15.75" customHeight="1">
      <c r="C165" s="266"/>
      <c r="F165" s="96"/>
      <c r="G165" s="96"/>
      <c r="H165" s="241"/>
      <c r="I165" s="238"/>
      <c r="J165" s="241"/>
      <c r="K165" s="239"/>
      <c r="L165" s="242"/>
      <c r="M165" s="96"/>
      <c r="N165" s="241"/>
      <c r="O165" s="238"/>
      <c r="P165" s="241"/>
      <c r="Q165" s="238"/>
      <c r="R165" s="241"/>
      <c r="S165" s="238"/>
      <c r="T165" s="241"/>
      <c r="U165" s="238"/>
      <c r="V165" s="241"/>
      <c r="W165" s="238"/>
      <c r="X165" s="241"/>
      <c r="Y165" s="238"/>
      <c r="Z165" s="241"/>
      <c r="AA165" s="238"/>
      <c r="AB165" s="241"/>
      <c r="AC165" s="242"/>
      <c r="AD165" s="241"/>
      <c r="AE165" s="238"/>
    </row>
    <row r="166" ht="15.75" customHeight="1">
      <c r="C166" s="266"/>
      <c r="F166" s="96"/>
      <c r="G166" s="96"/>
      <c r="H166" s="241"/>
      <c r="I166" s="238"/>
      <c r="J166" s="241"/>
      <c r="K166" s="239"/>
      <c r="L166" s="242"/>
      <c r="M166" s="96"/>
      <c r="N166" s="241"/>
      <c r="O166" s="238"/>
      <c r="P166" s="241"/>
      <c r="Q166" s="238"/>
      <c r="R166" s="241"/>
      <c r="S166" s="238"/>
      <c r="T166" s="241"/>
      <c r="U166" s="238"/>
      <c r="V166" s="241"/>
      <c r="W166" s="238"/>
      <c r="X166" s="241"/>
      <c r="Y166" s="238"/>
      <c r="Z166" s="241"/>
      <c r="AA166" s="238"/>
      <c r="AB166" s="241"/>
      <c r="AC166" s="242"/>
      <c r="AD166" s="241"/>
      <c r="AE166" s="238"/>
    </row>
    <row r="167" ht="15.75" customHeight="1">
      <c r="C167" s="266"/>
      <c r="F167" s="96"/>
      <c r="G167" s="96"/>
      <c r="H167" s="241"/>
      <c r="I167" s="238"/>
      <c r="J167" s="241"/>
      <c r="K167" s="239"/>
      <c r="L167" s="242"/>
      <c r="M167" s="96"/>
      <c r="N167" s="241"/>
      <c r="O167" s="238"/>
      <c r="P167" s="241"/>
      <c r="Q167" s="238"/>
      <c r="R167" s="241"/>
      <c r="S167" s="238"/>
      <c r="T167" s="241"/>
      <c r="U167" s="238"/>
      <c r="V167" s="241"/>
      <c r="W167" s="238"/>
      <c r="X167" s="241"/>
      <c r="Y167" s="238"/>
      <c r="Z167" s="241"/>
      <c r="AA167" s="238"/>
      <c r="AB167" s="241"/>
      <c r="AC167" s="242"/>
      <c r="AD167" s="241"/>
      <c r="AE167" s="238"/>
    </row>
    <row r="168" ht="15.75" customHeight="1">
      <c r="C168" s="266"/>
      <c r="F168" s="96"/>
      <c r="G168" s="96"/>
      <c r="H168" s="241"/>
      <c r="I168" s="238"/>
      <c r="J168" s="241"/>
      <c r="K168" s="239"/>
      <c r="L168" s="242"/>
      <c r="M168" s="96"/>
      <c r="N168" s="241"/>
      <c r="O168" s="238"/>
      <c r="P168" s="241"/>
      <c r="Q168" s="238"/>
      <c r="R168" s="241"/>
      <c r="S168" s="238"/>
      <c r="T168" s="241"/>
      <c r="U168" s="238"/>
      <c r="V168" s="241"/>
      <c r="W168" s="238"/>
      <c r="X168" s="241"/>
      <c r="Y168" s="238"/>
      <c r="Z168" s="241"/>
      <c r="AA168" s="238"/>
      <c r="AB168" s="241"/>
      <c r="AC168" s="242"/>
      <c r="AD168" s="241"/>
      <c r="AE168" s="238"/>
    </row>
    <row r="169" ht="15.75" customHeight="1">
      <c r="C169" s="266"/>
      <c r="F169" s="96"/>
      <c r="G169" s="96"/>
      <c r="H169" s="241"/>
      <c r="I169" s="238"/>
      <c r="J169" s="241"/>
      <c r="K169" s="239"/>
      <c r="L169" s="242"/>
      <c r="M169" s="96"/>
      <c r="N169" s="241"/>
      <c r="O169" s="238"/>
      <c r="P169" s="241"/>
      <c r="Q169" s="238"/>
      <c r="R169" s="241"/>
      <c r="S169" s="238"/>
      <c r="T169" s="241"/>
      <c r="U169" s="238"/>
      <c r="V169" s="241"/>
      <c r="W169" s="238"/>
      <c r="X169" s="241"/>
      <c r="Y169" s="238"/>
      <c r="Z169" s="241"/>
      <c r="AA169" s="238"/>
      <c r="AB169" s="241"/>
      <c r="AC169" s="242"/>
      <c r="AD169" s="241"/>
      <c r="AE169" s="238"/>
    </row>
    <row r="170" ht="15.75" customHeight="1">
      <c r="C170" s="266"/>
      <c r="F170" s="96"/>
      <c r="G170" s="96"/>
      <c r="H170" s="241"/>
      <c r="I170" s="238"/>
      <c r="J170" s="241"/>
      <c r="K170" s="239"/>
      <c r="L170" s="242"/>
      <c r="M170" s="96"/>
      <c r="N170" s="241"/>
      <c r="O170" s="238"/>
      <c r="P170" s="241"/>
      <c r="Q170" s="238"/>
      <c r="R170" s="241"/>
      <c r="S170" s="238"/>
      <c r="T170" s="241"/>
      <c r="U170" s="238"/>
      <c r="V170" s="241"/>
      <c r="W170" s="238"/>
      <c r="X170" s="241"/>
      <c r="Y170" s="238"/>
      <c r="Z170" s="241"/>
      <c r="AA170" s="238"/>
      <c r="AB170" s="241"/>
      <c r="AC170" s="242"/>
      <c r="AD170" s="241"/>
      <c r="AE170" s="238"/>
    </row>
    <row r="171" ht="15.75" customHeight="1">
      <c r="C171" s="266"/>
      <c r="F171" s="96"/>
      <c r="G171" s="96"/>
      <c r="H171" s="241"/>
      <c r="I171" s="238"/>
      <c r="J171" s="241"/>
      <c r="K171" s="239"/>
      <c r="L171" s="242"/>
      <c r="M171" s="96"/>
      <c r="N171" s="241"/>
      <c r="O171" s="238"/>
      <c r="P171" s="241"/>
      <c r="Q171" s="238"/>
      <c r="R171" s="241"/>
      <c r="S171" s="238"/>
      <c r="T171" s="241"/>
      <c r="U171" s="238"/>
      <c r="V171" s="241"/>
      <c r="W171" s="238"/>
      <c r="X171" s="241"/>
      <c r="Y171" s="238"/>
      <c r="Z171" s="241"/>
      <c r="AA171" s="238"/>
      <c r="AB171" s="241"/>
      <c r="AC171" s="242"/>
      <c r="AD171" s="241"/>
      <c r="AE171" s="238"/>
    </row>
    <row r="172" ht="15.75" customHeight="1">
      <c r="C172" s="266"/>
      <c r="F172" s="96"/>
      <c r="G172" s="96"/>
      <c r="H172" s="241"/>
      <c r="I172" s="238"/>
      <c r="J172" s="241"/>
      <c r="K172" s="239"/>
      <c r="L172" s="242"/>
      <c r="M172" s="96"/>
      <c r="N172" s="241"/>
      <c r="O172" s="238"/>
      <c r="P172" s="241"/>
      <c r="Q172" s="238"/>
      <c r="R172" s="241"/>
      <c r="S172" s="238"/>
      <c r="T172" s="241"/>
      <c r="U172" s="238"/>
      <c r="V172" s="241"/>
      <c r="W172" s="238"/>
      <c r="X172" s="241"/>
      <c r="Y172" s="238"/>
      <c r="Z172" s="241"/>
      <c r="AA172" s="238"/>
      <c r="AB172" s="241"/>
      <c r="AC172" s="242"/>
      <c r="AD172" s="241"/>
      <c r="AE172" s="238"/>
    </row>
    <row r="173" ht="15.75" customHeight="1">
      <c r="C173" s="266"/>
      <c r="F173" s="96"/>
      <c r="G173" s="96"/>
      <c r="H173" s="241"/>
      <c r="I173" s="238"/>
      <c r="J173" s="241"/>
      <c r="K173" s="239"/>
      <c r="L173" s="242"/>
      <c r="M173" s="96"/>
      <c r="N173" s="241"/>
      <c r="O173" s="238"/>
      <c r="P173" s="241"/>
      <c r="Q173" s="238"/>
      <c r="R173" s="241"/>
      <c r="S173" s="238"/>
      <c r="T173" s="241"/>
      <c r="U173" s="238"/>
      <c r="V173" s="241"/>
      <c r="W173" s="238"/>
      <c r="X173" s="241"/>
      <c r="Y173" s="238"/>
      <c r="Z173" s="241"/>
      <c r="AA173" s="238"/>
      <c r="AB173" s="241"/>
      <c r="AC173" s="242"/>
      <c r="AD173" s="241"/>
      <c r="AE173" s="238"/>
    </row>
    <row r="174" ht="15.75" customHeight="1">
      <c r="C174" s="266"/>
      <c r="F174" s="96"/>
      <c r="G174" s="96"/>
      <c r="H174" s="241"/>
      <c r="I174" s="238"/>
      <c r="J174" s="241"/>
      <c r="K174" s="239"/>
      <c r="L174" s="242"/>
      <c r="M174" s="96"/>
      <c r="N174" s="241"/>
      <c r="O174" s="238"/>
      <c r="P174" s="241"/>
      <c r="Q174" s="238"/>
      <c r="R174" s="241"/>
      <c r="S174" s="238"/>
      <c r="T174" s="241"/>
      <c r="U174" s="238"/>
      <c r="V174" s="241"/>
      <c r="W174" s="238"/>
      <c r="X174" s="241"/>
      <c r="Y174" s="238"/>
      <c r="Z174" s="241"/>
      <c r="AA174" s="238"/>
      <c r="AB174" s="241"/>
      <c r="AC174" s="242"/>
      <c r="AD174" s="241"/>
      <c r="AE174" s="238"/>
    </row>
    <row r="175" ht="15.75" customHeight="1">
      <c r="C175" s="266"/>
      <c r="F175" s="96"/>
      <c r="G175" s="96"/>
      <c r="H175" s="241"/>
      <c r="I175" s="238"/>
      <c r="J175" s="241"/>
      <c r="K175" s="239"/>
      <c r="L175" s="242"/>
      <c r="M175" s="96"/>
      <c r="N175" s="241"/>
      <c r="O175" s="238"/>
      <c r="P175" s="241"/>
      <c r="Q175" s="238"/>
      <c r="R175" s="241"/>
      <c r="S175" s="238"/>
      <c r="T175" s="241"/>
      <c r="U175" s="238"/>
      <c r="V175" s="241"/>
      <c r="W175" s="238"/>
      <c r="X175" s="241"/>
      <c r="Y175" s="238"/>
      <c r="Z175" s="241"/>
      <c r="AA175" s="238"/>
      <c r="AB175" s="241"/>
      <c r="AC175" s="242"/>
      <c r="AD175" s="241"/>
      <c r="AE175" s="238"/>
    </row>
    <row r="176" ht="15.75" customHeight="1">
      <c r="C176" s="266"/>
      <c r="F176" s="96"/>
      <c r="G176" s="96"/>
      <c r="H176" s="241"/>
      <c r="I176" s="238"/>
      <c r="J176" s="241"/>
      <c r="K176" s="239"/>
      <c r="L176" s="242"/>
      <c r="M176" s="96"/>
      <c r="N176" s="241"/>
      <c r="O176" s="238"/>
      <c r="P176" s="241"/>
      <c r="Q176" s="238"/>
      <c r="R176" s="241"/>
      <c r="S176" s="238"/>
      <c r="T176" s="241"/>
      <c r="U176" s="238"/>
      <c r="V176" s="241"/>
      <c r="W176" s="238"/>
      <c r="X176" s="241"/>
      <c r="Y176" s="238"/>
      <c r="Z176" s="241"/>
      <c r="AA176" s="238"/>
      <c r="AB176" s="241"/>
      <c r="AC176" s="242"/>
      <c r="AD176" s="241"/>
      <c r="AE176" s="238"/>
    </row>
    <row r="177" ht="15.75" customHeight="1">
      <c r="C177" s="266"/>
      <c r="F177" s="96"/>
      <c r="G177" s="96"/>
      <c r="H177" s="241"/>
      <c r="I177" s="238"/>
      <c r="J177" s="241"/>
      <c r="K177" s="239"/>
      <c r="L177" s="242"/>
      <c r="M177" s="96"/>
      <c r="N177" s="241"/>
      <c r="O177" s="238"/>
      <c r="P177" s="241"/>
      <c r="Q177" s="238"/>
      <c r="R177" s="241"/>
      <c r="S177" s="238"/>
      <c r="T177" s="241"/>
      <c r="U177" s="238"/>
      <c r="V177" s="241"/>
      <c r="W177" s="238"/>
      <c r="X177" s="241"/>
      <c r="Y177" s="238"/>
      <c r="Z177" s="241"/>
      <c r="AA177" s="238"/>
      <c r="AB177" s="241"/>
      <c r="AC177" s="242"/>
      <c r="AD177" s="241"/>
      <c r="AE177" s="238"/>
    </row>
    <row r="178" ht="15.75" customHeight="1">
      <c r="C178" s="266"/>
      <c r="F178" s="96"/>
      <c r="G178" s="96"/>
      <c r="H178" s="241"/>
      <c r="I178" s="238"/>
      <c r="J178" s="241"/>
      <c r="K178" s="239"/>
      <c r="L178" s="242"/>
      <c r="M178" s="96"/>
      <c r="N178" s="241"/>
      <c r="O178" s="238"/>
      <c r="P178" s="241"/>
      <c r="Q178" s="238"/>
      <c r="R178" s="241"/>
      <c r="S178" s="238"/>
      <c r="T178" s="241"/>
      <c r="U178" s="238"/>
      <c r="V178" s="241"/>
      <c r="W178" s="238"/>
      <c r="X178" s="241"/>
      <c r="Y178" s="238"/>
      <c r="Z178" s="241"/>
      <c r="AA178" s="238"/>
      <c r="AB178" s="241"/>
      <c r="AC178" s="242"/>
      <c r="AD178" s="241"/>
      <c r="AE178" s="238"/>
    </row>
    <row r="179" ht="15.75" customHeight="1">
      <c r="C179" s="266"/>
      <c r="F179" s="96"/>
      <c r="G179" s="96"/>
      <c r="H179" s="241"/>
      <c r="I179" s="238"/>
      <c r="J179" s="241"/>
      <c r="K179" s="239"/>
      <c r="L179" s="242"/>
      <c r="M179" s="96"/>
      <c r="N179" s="241"/>
      <c r="O179" s="238"/>
      <c r="P179" s="241"/>
      <c r="Q179" s="238"/>
      <c r="R179" s="241"/>
      <c r="S179" s="238"/>
      <c r="T179" s="241"/>
      <c r="U179" s="238"/>
      <c r="V179" s="241"/>
      <c r="W179" s="238"/>
      <c r="X179" s="241"/>
      <c r="Y179" s="238"/>
      <c r="Z179" s="241"/>
      <c r="AA179" s="238"/>
      <c r="AB179" s="241"/>
      <c r="AC179" s="242"/>
      <c r="AD179" s="241"/>
      <c r="AE179" s="238"/>
    </row>
    <row r="180" ht="15.75" customHeight="1">
      <c r="C180" s="266"/>
      <c r="F180" s="96"/>
      <c r="G180" s="96"/>
      <c r="H180" s="241"/>
      <c r="I180" s="238"/>
      <c r="J180" s="241"/>
      <c r="K180" s="239"/>
      <c r="L180" s="242"/>
      <c r="M180" s="96"/>
      <c r="N180" s="241"/>
      <c r="O180" s="238"/>
      <c r="P180" s="241"/>
      <c r="Q180" s="238"/>
      <c r="R180" s="241"/>
      <c r="S180" s="238"/>
      <c r="T180" s="241"/>
      <c r="U180" s="238"/>
      <c r="V180" s="241"/>
      <c r="W180" s="238"/>
      <c r="X180" s="241"/>
      <c r="Y180" s="238"/>
      <c r="Z180" s="241"/>
      <c r="AA180" s="238"/>
      <c r="AB180" s="241"/>
      <c r="AC180" s="242"/>
      <c r="AD180" s="241"/>
      <c r="AE180" s="238"/>
    </row>
    <row r="181" ht="15.75" customHeight="1">
      <c r="C181" s="266"/>
      <c r="F181" s="96"/>
      <c r="G181" s="96"/>
      <c r="H181" s="241"/>
      <c r="I181" s="238"/>
      <c r="J181" s="241"/>
      <c r="K181" s="239"/>
      <c r="L181" s="242"/>
      <c r="M181" s="96"/>
      <c r="N181" s="241"/>
      <c r="O181" s="238"/>
      <c r="P181" s="241"/>
      <c r="Q181" s="238"/>
      <c r="R181" s="241"/>
      <c r="S181" s="238"/>
      <c r="T181" s="241"/>
      <c r="U181" s="238"/>
      <c r="V181" s="241"/>
      <c r="W181" s="238"/>
      <c r="X181" s="241"/>
      <c r="Y181" s="238"/>
      <c r="Z181" s="241"/>
      <c r="AA181" s="238"/>
      <c r="AB181" s="241"/>
      <c r="AC181" s="242"/>
      <c r="AD181" s="241"/>
      <c r="AE181" s="238"/>
    </row>
    <row r="182" ht="15.75" customHeight="1">
      <c r="C182" s="266"/>
      <c r="F182" s="96"/>
      <c r="G182" s="96"/>
      <c r="H182" s="241"/>
      <c r="I182" s="238"/>
      <c r="J182" s="241"/>
      <c r="K182" s="239"/>
      <c r="L182" s="242"/>
      <c r="M182" s="96"/>
      <c r="N182" s="241"/>
      <c r="O182" s="238"/>
      <c r="P182" s="241"/>
      <c r="Q182" s="238"/>
      <c r="R182" s="241"/>
      <c r="S182" s="238"/>
      <c r="T182" s="241"/>
      <c r="U182" s="238"/>
      <c r="V182" s="241"/>
      <c r="W182" s="238"/>
      <c r="X182" s="241"/>
      <c r="Y182" s="238"/>
      <c r="Z182" s="241"/>
      <c r="AA182" s="238"/>
      <c r="AB182" s="241"/>
      <c r="AC182" s="242"/>
      <c r="AD182" s="241"/>
      <c r="AE182" s="238"/>
    </row>
    <row r="183" ht="15.75" customHeight="1">
      <c r="C183" s="266"/>
      <c r="F183" s="96"/>
      <c r="G183" s="96"/>
      <c r="H183" s="241"/>
      <c r="I183" s="238"/>
      <c r="J183" s="241"/>
      <c r="K183" s="239"/>
      <c r="L183" s="242"/>
      <c r="M183" s="96"/>
      <c r="N183" s="241"/>
      <c r="O183" s="238"/>
      <c r="P183" s="241"/>
      <c r="Q183" s="238"/>
      <c r="R183" s="241"/>
      <c r="S183" s="238"/>
      <c r="T183" s="241"/>
      <c r="U183" s="238"/>
      <c r="V183" s="241"/>
      <c r="W183" s="238"/>
      <c r="X183" s="241"/>
      <c r="Y183" s="238"/>
      <c r="Z183" s="241"/>
      <c r="AA183" s="238"/>
      <c r="AB183" s="241"/>
      <c r="AC183" s="242"/>
      <c r="AD183" s="241"/>
      <c r="AE183" s="238"/>
    </row>
    <row r="184" ht="15.75" customHeight="1">
      <c r="C184" s="266"/>
      <c r="F184" s="96"/>
      <c r="G184" s="96"/>
      <c r="H184" s="241"/>
      <c r="I184" s="238"/>
      <c r="J184" s="241"/>
      <c r="K184" s="239"/>
      <c r="L184" s="242"/>
      <c r="M184" s="96"/>
      <c r="N184" s="241"/>
      <c r="O184" s="238"/>
      <c r="P184" s="241"/>
      <c r="Q184" s="238"/>
      <c r="R184" s="241"/>
      <c r="S184" s="238"/>
      <c r="T184" s="241"/>
      <c r="U184" s="238"/>
      <c r="V184" s="241"/>
      <c r="W184" s="238"/>
      <c r="X184" s="241"/>
      <c r="Y184" s="238"/>
      <c r="Z184" s="241"/>
      <c r="AA184" s="238"/>
      <c r="AB184" s="241"/>
      <c r="AC184" s="242"/>
      <c r="AD184" s="241"/>
      <c r="AE184" s="238"/>
    </row>
    <row r="185" ht="15.75" customHeight="1">
      <c r="C185" s="266"/>
      <c r="F185" s="96"/>
      <c r="G185" s="96"/>
      <c r="H185" s="241"/>
      <c r="I185" s="238"/>
      <c r="J185" s="241"/>
      <c r="K185" s="239"/>
      <c r="L185" s="242"/>
      <c r="M185" s="96"/>
      <c r="N185" s="241"/>
      <c r="O185" s="238"/>
      <c r="P185" s="241"/>
      <c r="Q185" s="238"/>
      <c r="R185" s="241"/>
      <c r="S185" s="238"/>
      <c r="T185" s="241"/>
      <c r="U185" s="238"/>
      <c r="V185" s="241"/>
      <c r="W185" s="238"/>
      <c r="X185" s="241"/>
      <c r="Y185" s="238"/>
      <c r="Z185" s="241"/>
      <c r="AA185" s="238"/>
      <c r="AB185" s="241"/>
      <c r="AC185" s="242"/>
      <c r="AD185" s="241"/>
      <c r="AE185" s="238"/>
    </row>
    <row r="186" ht="15.75" customHeight="1">
      <c r="C186" s="266"/>
      <c r="F186" s="96"/>
      <c r="G186" s="96"/>
      <c r="H186" s="241"/>
      <c r="I186" s="238"/>
      <c r="J186" s="241"/>
      <c r="K186" s="239"/>
      <c r="L186" s="242"/>
      <c r="M186" s="96"/>
      <c r="N186" s="241"/>
      <c r="O186" s="238"/>
      <c r="P186" s="241"/>
      <c r="Q186" s="238"/>
      <c r="R186" s="241"/>
      <c r="S186" s="238"/>
      <c r="T186" s="241"/>
      <c r="U186" s="238"/>
      <c r="V186" s="241"/>
      <c r="W186" s="238"/>
      <c r="X186" s="241"/>
      <c r="Y186" s="238"/>
      <c r="Z186" s="241"/>
      <c r="AA186" s="238"/>
      <c r="AB186" s="241"/>
      <c r="AC186" s="242"/>
      <c r="AD186" s="241"/>
      <c r="AE186" s="238"/>
    </row>
    <row r="187" ht="15.75" customHeight="1">
      <c r="C187" s="266"/>
      <c r="F187" s="96"/>
      <c r="G187" s="96"/>
      <c r="H187" s="241"/>
      <c r="I187" s="238"/>
      <c r="J187" s="241"/>
      <c r="K187" s="239"/>
      <c r="L187" s="242"/>
      <c r="M187" s="96"/>
      <c r="N187" s="241"/>
      <c r="O187" s="238"/>
      <c r="P187" s="241"/>
      <c r="Q187" s="238"/>
      <c r="R187" s="241"/>
      <c r="S187" s="238"/>
      <c r="T187" s="241"/>
      <c r="U187" s="238"/>
      <c r="V187" s="241"/>
      <c r="W187" s="238"/>
      <c r="X187" s="241"/>
      <c r="Y187" s="238"/>
      <c r="Z187" s="241"/>
      <c r="AA187" s="238"/>
      <c r="AB187" s="241"/>
      <c r="AC187" s="242"/>
      <c r="AD187" s="241"/>
      <c r="AE187" s="238"/>
    </row>
    <row r="188" ht="15.75" customHeight="1">
      <c r="C188" s="266"/>
      <c r="F188" s="96"/>
      <c r="G188" s="96"/>
      <c r="H188" s="241"/>
      <c r="I188" s="238"/>
      <c r="J188" s="241"/>
      <c r="K188" s="239"/>
      <c r="L188" s="242"/>
      <c r="M188" s="96"/>
      <c r="N188" s="241"/>
      <c r="O188" s="238"/>
      <c r="P188" s="241"/>
      <c r="Q188" s="238"/>
      <c r="R188" s="241"/>
      <c r="S188" s="238"/>
      <c r="T188" s="241"/>
      <c r="U188" s="238"/>
      <c r="V188" s="241"/>
      <c r="W188" s="238"/>
      <c r="X188" s="241"/>
      <c r="Y188" s="238"/>
      <c r="Z188" s="241"/>
      <c r="AA188" s="238"/>
      <c r="AB188" s="241"/>
      <c r="AC188" s="242"/>
      <c r="AD188" s="241"/>
      <c r="AE188" s="238"/>
    </row>
    <row r="189" ht="15.75" customHeight="1">
      <c r="C189" s="266"/>
      <c r="F189" s="96"/>
      <c r="G189" s="96"/>
      <c r="H189" s="241"/>
      <c r="I189" s="238"/>
      <c r="J189" s="241"/>
      <c r="K189" s="239"/>
      <c r="L189" s="242"/>
      <c r="M189" s="96"/>
      <c r="N189" s="241"/>
      <c r="O189" s="238"/>
      <c r="P189" s="241"/>
      <c r="Q189" s="238"/>
      <c r="R189" s="241"/>
      <c r="S189" s="238"/>
      <c r="T189" s="241"/>
      <c r="U189" s="238"/>
      <c r="V189" s="241"/>
      <c r="W189" s="238"/>
      <c r="X189" s="241"/>
      <c r="Y189" s="238"/>
      <c r="Z189" s="241"/>
      <c r="AA189" s="238"/>
      <c r="AB189" s="241"/>
      <c r="AC189" s="242"/>
      <c r="AD189" s="241"/>
      <c r="AE189" s="238"/>
    </row>
    <row r="190" ht="15.75" customHeight="1">
      <c r="C190" s="266"/>
      <c r="F190" s="96"/>
      <c r="G190" s="96"/>
      <c r="H190" s="241"/>
      <c r="I190" s="238"/>
      <c r="J190" s="241"/>
      <c r="K190" s="239"/>
      <c r="L190" s="242"/>
      <c r="M190" s="96"/>
      <c r="N190" s="241"/>
      <c r="O190" s="238"/>
      <c r="P190" s="241"/>
      <c r="Q190" s="238"/>
      <c r="R190" s="241"/>
      <c r="S190" s="238"/>
      <c r="T190" s="241"/>
      <c r="U190" s="238"/>
      <c r="V190" s="241"/>
      <c r="W190" s="238"/>
      <c r="X190" s="241"/>
      <c r="Y190" s="238"/>
      <c r="Z190" s="241"/>
      <c r="AA190" s="238"/>
      <c r="AB190" s="241"/>
      <c r="AC190" s="242"/>
      <c r="AD190" s="241"/>
      <c r="AE190" s="238"/>
    </row>
    <row r="191" ht="15.75" customHeight="1">
      <c r="C191" s="266"/>
      <c r="F191" s="96"/>
      <c r="G191" s="96"/>
      <c r="H191" s="241"/>
      <c r="I191" s="238"/>
      <c r="J191" s="241"/>
      <c r="K191" s="239"/>
      <c r="L191" s="242"/>
      <c r="M191" s="96"/>
      <c r="N191" s="241"/>
      <c r="O191" s="238"/>
      <c r="P191" s="241"/>
      <c r="Q191" s="238"/>
      <c r="R191" s="241"/>
      <c r="S191" s="238"/>
      <c r="T191" s="241"/>
      <c r="U191" s="238"/>
      <c r="V191" s="241"/>
      <c r="W191" s="238"/>
      <c r="X191" s="241"/>
      <c r="Y191" s="238"/>
      <c r="Z191" s="241"/>
      <c r="AA191" s="238"/>
      <c r="AB191" s="241"/>
      <c r="AC191" s="242"/>
      <c r="AD191" s="241"/>
      <c r="AE191" s="238"/>
    </row>
    <row r="192" ht="15.75" customHeight="1">
      <c r="C192" s="266"/>
      <c r="F192" s="96"/>
      <c r="G192" s="96"/>
      <c r="H192" s="241"/>
      <c r="I192" s="238"/>
      <c r="J192" s="241"/>
      <c r="K192" s="239"/>
      <c r="L192" s="242"/>
      <c r="M192" s="96"/>
      <c r="N192" s="241"/>
      <c r="O192" s="238"/>
      <c r="P192" s="241"/>
      <c r="Q192" s="238"/>
      <c r="R192" s="241"/>
      <c r="S192" s="238"/>
      <c r="T192" s="241"/>
      <c r="U192" s="238"/>
      <c r="V192" s="241"/>
      <c r="W192" s="238"/>
      <c r="X192" s="241"/>
      <c r="Y192" s="238"/>
      <c r="Z192" s="241"/>
      <c r="AA192" s="238"/>
      <c r="AB192" s="241"/>
      <c r="AC192" s="242"/>
      <c r="AD192" s="241"/>
      <c r="AE192" s="238"/>
    </row>
    <row r="193" ht="15.75" customHeight="1">
      <c r="C193" s="266"/>
      <c r="F193" s="96"/>
      <c r="G193" s="96"/>
      <c r="H193" s="241"/>
      <c r="I193" s="238"/>
      <c r="J193" s="241"/>
      <c r="K193" s="239"/>
      <c r="L193" s="242"/>
      <c r="M193" s="96"/>
      <c r="N193" s="241"/>
      <c r="O193" s="238"/>
      <c r="P193" s="241"/>
      <c r="Q193" s="238"/>
      <c r="R193" s="241"/>
      <c r="S193" s="238"/>
      <c r="T193" s="241"/>
      <c r="U193" s="238"/>
      <c r="V193" s="241"/>
      <c r="W193" s="238"/>
      <c r="X193" s="241"/>
      <c r="Y193" s="238"/>
      <c r="Z193" s="241"/>
      <c r="AA193" s="238"/>
      <c r="AB193" s="241"/>
      <c r="AC193" s="242"/>
      <c r="AD193" s="241"/>
      <c r="AE193" s="238"/>
    </row>
    <row r="194" ht="15.75" customHeight="1">
      <c r="C194" s="266"/>
      <c r="F194" s="96"/>
      <c r="G194" s="96"/>
      <c r="H194" s="241"/>
      <c r="I194" s="238"/>
      <c r="J194" s="241"/>
      <c r="K194" s="239"/>
      <c r="L194" s="242"/>
      <c r="M194" s="96"/>
      <c r="N194" s="241"/>
      <c r="O194" s="238"/>
      <c r="P194" s="241"/>
      <c r="Q194" s="238"/>
      <c r="R194" s="241"/>
      <c r="S194" s="238"/>
      <c r="T194" s="241"/>
      <c r="U194" s="238"/>
      <c r="V194" s="241"/>
      <c r="W194" s="238"/>
      <c r="X194" s="241"/>
      <c r="Y194" s="238"/>
      <c r="Z194" s="241"/>
      <c r="AA194" s="238"/>
      <c r="AB194" s="241"/>
      <c r="AC194" s="242"/>
      <c r="AD194" s="241"/>
      <c r="AE194" s="238"/>
    </row>
    <row r="195" ht="15.75" customHeight="1">
      <c r="C195" s="266"/>
      <c r="F195" s="96"/>
      <c r="G195" s="96"/>
      <c r="H195" s="241"/>
      <c r="I195" s="238"/>
      <c r="J195" s="241"/>
      <c r="K195" s="239"/>
      <c r="L195" s="242"/>
      <c r="M195" s="96"/>
      <c r="N195" s="241"/>
      <c r="O195" s="238"/>
      <c r="P195" s="241"/>
      <c r="Q195" s="238"/>
      <c r="R195" s="241"/>
      <c r="S195" s="238"/>
      <c r="T195" s="241"/>
      <c r="U195" s="238"/>
      <c r="V195" s="241"/>
      <c r="W195" s="238"/>
      <c r="X195" s="241"/>
      <c r="Y195" s="238"/>
      <c r="Z195" s="241"/>
      <c r="AA195" s="238"/>
      <c r="AB195" s="241"/>
      <c r="AC195" s="242"/>
      <c r="AD195" s="241"/>
      <c r="AE195" s="238"/>
    </row>
    <row r="196" ht="15.75" customHeight="1">
      <c r="C196" s="266"/>
      <c r="F196" s="96"/>
      <c r="G196" s="96"/>
      <c r="H196" s="241"/>
      <c r="I196" s="238"/>
      <c r="J196" s="241"/>
      <c r="K196" s="239"/>
      <c r="L196" s="242"/>
      <c r="M196" s="96"/>
      <c r="N196" s="241"/>
      <c r="O196" s="238"/>
      <c r="P196" s="241"/>
      <c r="Q196" s="238"/>
      <c r="R196" s="241"/>
      <c r="S196" s="238"/>
      <c r="T196" s="241"/>
      <c r="U196" s="238"/>
      <c r="V196" s="241"/>
      <c r="W196" s="238"/>
      <c r="X196" s="241"/>
      <c r="Y196" s="238"/>
      <c r="Z196" s="241"/>
      <c r="AA196" s="238"/>
      <c r="AB196" s="241"/>
      <c r="AC196" s="242"/>
      <c r="AD196" s="241"/>
      <c r="AE196" s="238"/>
    </row>
    <row r="197" ht="15.75" customHeight="1">
      <c r="C197" s="266"/>
      <c r="F197" s="96"/>
      <c r="G197" s="96"/>
      <c r="H197" s="241"/>
      <c r="I197" s="238"/>
      <c r="J197" s="241"/>
      <c r="K197" s="239"/>
      <c r="L197" s="242"/>
      <c r="M197" s="96"/>
      <c r="N197" s="241"/>
      <c r="O197" s="238"/>
      <c r="P197" s="241"/>
      <c r="Q197" s="238"/>
      <c r="R197" s="241"/>
      <c r="S197" s="238"/>
      <c r="T197" s="241"/>
      <c r="U197" s="238"/>
      <c r="V197" s="241"/>
      <c r="W197" s="238"/>
      <c r="X197" s="241"/>
      <c r="Y197" s="238"/>
      <c r="Z197" s="241"/>
      <c r="AA197" s="238"/>
      <c r="AB197" s="241"/>
      <c r="AC197" s="242"/>
      <c r="AD197" s="241"/>
      <c r="AE197" s="238"/>
    </row>
    <row r="198" ht="15.75" customHeight="1">
      <c r="C198" s="266"/>
      <c r="F198" s="96"/>
      <c r="G198" s="96"/>
      <c r="H198" s="241"/>
      <c r="I198" s="238"/>
      <c r="J198" s="241"/>
      <c r="K198" s="239"/>
      <c r="L198" s="242"/>
      <c r="M198" s="96"/>
      <c r="N198" s="241"/>
      <c r="O198" s="238"/>
      <c r="P198" s="241"/>
      <c r="Q198" s="238"/>
      <c r="R198" s="241"/>
      <c r="S198" s="238"/>
      <c r="T198" s="241"/>
      <c r="U198" s="238"/>
      <c r="V198" s="241"/>
      <c r="W198" s="238"/>
      <c r="X198" s="241"/>
      <c r="Y198" s="238"/>
      <c r="Z198" s="241"/>
      <c r="AA198" s="238"/>
      <c r="AB198" s="241"/>
      <c r="AC198" s="242"/>
      <c r="AD198" s="241"/>
      <c r="AE198" s="238"/>
    </row>
    <row r="199" ht="15.75" customHeight="1">
      <c r="C199" s="266"/>
      <c r="F199" s="96"/>
      <c r="G199" s="96"/>
      <c r="H199" s="241"/>
      <c r="I199" s="238"/>
      <c r="J199" s="241"/>
      <c r="K199" s="239"/>
      <c r="L199" s="242"/>
      <c r="M199" s="96"/>
      <c r="N199" s="241"/>
      <c r="O199" s="238"/>
      <c r="P199" s="241"/>
      <c r="Q199" s="238"/>
      <c r="R199" s="241"/>
      <c r="S199" s="238"/>
      <c r="T199" s="241"/>
      <c r="U199" s="238"/>
      <c r="V199" s="241"/>
      <c r="W199" s="238"/>
      <c r="X199" s="241"/>
      <c r="Y199" s="238"/>
      <c r="Z199" s="241"/>
      <c r="AA199" s="238"/>
      <c r="AB199" s="241"/>
      <c r="AC199" s="242"/>
      <c r="AD199" s="241"/>
      <c r="AE199" s="238"/>
    </row>
    <row r="200" ht="15.75" customHeight="1">
      <c r="C200" s="266"/>
      <c r="F200" s="96"/>
      <c r="G200" s="96"/>
      <c r="H200" s="241"/>
      <c r="I200" s="238"/>
      <c r="J200" s="241"/>
      <c r="K200" s="239"/>
      <c r="L200" s="242"/>
      <c r="M200" s="96"/>
      <c r="N200" s="241"/>
      <c r="O200" s="238"/>
      <c r="P200" s="241"/>
      <c r="Q200" s="238"/>
      <c r="R200" s="241"/>
      <c r="S200" s="238"/>
      <c r="T200" s="241"/>
      <c r="U200" s="238"/>
      <c r="V200" s="241"/>
      <c r="W200" s="238"/>
      <c r="X200" s="241"/>
      <c r="Y200" s="238"/>
      <c r="Z200" s="241"/>
      <c r="AA200" s="238"/>
      <c r="AB200" s="241"/>
      <c r="AC200" s="242"/>
      <c r="AD200" s="241"/>
      <c r="AE200" s="238"/>
    </row>
    <row r="201" ht="15.75" customHeight="1">
      <c r="C201" s="266"/>
      <c r="F201" s="96"/>
      <c r="G201" s="96"/>
      <c r="H201" s="241"/>
      <c r="I201" s="238"/>
      <c r="J201" s="241"/>
      <c r="K201" s="239"/>
      <c r="L201" s="242"/>
      <c r="M201" s="96"/>
      <c r="N201" s="241"/>
      <c r="O201" s="238"/>
      <c r="P201" s="241"/>
      <c r="Q201" s="238"/>
      <c r="R201" s="241"/>
      <c r="S201" s="238"/>
      <c r="T201" s="241"/>
      <c r="U201" s="238"/>
      <c r="V201" s="241"/>
      <c r="W201" s="238"/>
      <c r="X201" s="241"/>
      <c r="Y201" s="238"/>
      <c r="Z201" s="241"/>
      <c r="AA201" s="238"/>
      <c r="AB201" s="241"/>
      <c r="AC201" s="242"/>
      <c r="AD201" s="241"/>
      <c r="AE201" s="238"/>
    </row>
    <row r="202" ht="15.75" customHeight="1">
      <c r="C202" s="266"/>
      <c r="F202" s="96"/>
      <c r="G202" s="96"/>
      <c r="H202" s="241"/>
      <c r="I202" s="238"/>
      <c r="J202" s="241"/>
      <c r="K202" s="239"/>
      <c r="L202" s="242"/>
      <c r="M202" s="96"/>
      <c r="N202" s="241"/>
      <c r="O202" s="238"/>
      <c r="P202" s="241"/>
      <c r="Q202" s="238"/>
      <c r="R202" s="241"/>
      <c r="S202" s="238"/>
      <c r="T202" s="241"/>
      <c r="U202" s="238"/>
      <c r="V202" s="241"/>
      <c r="W202" s="238"/>
      <c r="X202" s="241"/>
      <c r="Y202" s="238"/>
      <c r="Z202" s="241"/>
      <c r="AA202" s="238"/>
      <c r="AB202" s="241"/>
      <c r="AC202" s="242"/>
      <c r="AD202" s="241"/>
      <c r="AE202" s="238"/>
    </row>
    <row r="203" ht="15.75" customHeight="1">
      <c r="C203" s="266"/>
      <c r="F203" s="96"/>
      <c r="G203" s="96"/>
      <c r="H203" s="241"/>
      <c r="I203" s="238"/>
      <c r="J203" s="241"/>
      <c r="K203" s="239"/>
      <c r="L203" s="242"/>
      <c r="M203" s="96"/>
      <c r="N203" s="241"/>
      <c r="O203" s="238"/>
      <c r="P203" s="241"/>
      <c r="Q203" s="238"/>
      <c r="R203" s="241"/>
      <c r="S203" s="238"/>
      <c r="T203" s="241"/>
      <c r="U203" s="238"/>
      <c r="V203" s="241"/>
      <c r="W203" s="238"/>
      <c r="X203" s="241"/>
      <c r="Y203" s="238"/>
      <c r="Z203" s="241"/>
      <c r="AA203" s="238"/>
      <c r="AB203" s="241"/>
      <c r="AC203" s="242"/>
      <c r="AD203" s="241"/>
      <c r="AE203" s="238"/>
    </row>
    <row r="204" ht="15.75" customHeight="1">
      <c r="C204" s="266"/>
      <c r="F204" s="96"/>
      <c r="G204" s="96"/>
      <c r="H204" s="241"/>
      <c r="I204" s="238"/>
      <c r="J204" s="241"/>
      <c r="K204" s="239"/>
      <c r="L204" s="242"/>
      <c r="M204" s="96"/>
      <c r="N204" s="241"/>
      <c r="O204" s="238"/>
      <c r="P204" s="241"/>
      <c r="Q204" s="238"/>
      <c r="R204" s="241"/>
      <c r="S204" s="238"/>
      <c r="T204" s="241"/>
      <c r="U204" s="238"/>
      <c r="V204" s="241"/>
      <c r="W204" s="238"/>
      <c r="X204" s="241"/>
      <c r="Y204" s="238"/>
      <c r="Z204" s="241"/>
      <c r="AA204" s="238"/>
      <c r="AB204" s="241"/>
      <c r="AC204" s="242"/>
      <c r="AD204" s="241"/>
      <c r="AE204" s="238"/>
    </row>
    <row r="205" ht="15.75" customHeight="1">
      <c r="C205" s="266"/>
      <c r="F205" s="96"/>
      <c r="G205" s="96"/>
      <c r="H205" s="241"/>
      <c r="I205" s="238"/>
      <c r="J205" s="241"/>
      <c r="K205" s="239"/>
      <c r="L205" s="242"/>
      <c r="M205" s="96"/>
      <c r="N205" s="241"/>
      <c r="O205" s="238"/>
      <c r="P205" s="241"/>
      <c r="Q205" s="238"/>
      <c r="R205" s="241"/>
      <c r="S205" s="238"/>
      <c r="T205" s="241"/>
      <c r="U205" s="238"/>
      <c r="V205" s="241"/>
      <c r="W205" s="238"/>
      <c r="X205" s="241"/>
      <c r="Y205" s="238"/>
      <c r="Z205" s="241"/>
      <c r="AA205" s="238"/>
      <c r="AB205" s="241"/>
      <c r="AC205" s="242"/>
      <c r="AD205" s="241"/>
      <c r="AE205" s="238"/>
    </row>
    <row r="206" ht="15.75" customHeight="1">
      <c r="C206" s="266"/>
      <c r="F206" s="96"/>
      <c r="G206" s="96"/>
      <c r="H206" s="241"/>
      <c r="I206" s="238"/>
      <c r="J206" s="241"/>
      <c r="K206" s="239"/>
      <c r="L206" s="242"/>
      <c r="M206" s="96"/>
      <c r="N206" s="241"/>
      <c r="O206" s="238"/>
      <c r="P206" s="241"/>
      <c r="Q206" s="238"/>
      <c r="R206" s="241"/>
      <c r="S206" s="238"/>
      <c r="T206" s="241"/>
      <c r="U206" s="238"/>
      <c r="V206" s="241"/>
      <c r="W206" s="238"/>
      <c r="X206" s="241"/>
      <c r="Y206" s="238"/>
      <c r="Z206" s="241"/>
      <c r="AA206" s="238"/>
      <c r="AB206" s="241"/>
      <c r="AC206" s="242"/>
      <c r="AD206" s="241"/>
      <c r="AE206" s="238"/>
    </row>
    <row r="207" ht="15.75" customHeight="1">
      <c r="C207" s="266"/>
      <c r="F207" s="96"/>
      <c r="G207" s="96"/>
      <c r="H207" s="241"/>
      <c r="I207" s="238"/>
      <c r="J207" s="241"/>
      <c r="K207" s="239"/>
      <c r="L207" s="242"/>
      <c r="M207" s="96"/>
      <c r="N207" s="241"/>
      <c r="O207" s="238"/>
      <c r="P207" s="241"/>
      <c r="Q207" s="238"/>
      <c r="R207" s="241"/>
      <c r="S207" s="238"/>
      <c r="T207" s="241"/>
      <c r="U207" s="238"/>
      <c r="V207" s="241"/>
      <c r="W207" s="238"/>
      <c r="X207" s="241"/>
      <c r="Y207" s="238"/>
      <c r="Z207" s="241"/>
      <c r="AA207" s="238"/>
      <c r="AB207" s="241"/>
      <c r="AC207" s="242"/>
      <c r="AD207" s="241"/>
      <c r="AE207" s="238"/>
    </row>
    <row r="208" ht="15.75" customHeight="1">
      <c r="C208" s="266"/>
      <c r="F208" s="96"/>
      <c r="G208" s="96"/>
      <c r="H208" s="241"/>
      <c r="I208" s="238"/>
      <c r="J208" s="241"/>
      <c r="K208" s="239"/>
      <c r="L208" s="242"/>
      <c r="M208" s="96"/>
      <c r="N208" s="241"/>
      <c r="O208" s="238"/>
      <c r="P208" s="241"/>
      <c r="Q208" s="238"/>
      <c r="R208" s="241"/>
      <c r="S208" s="238"/>
      <c r="T208" s="241"/>
      <c r="U208" s="238"/>
      <c r="V208" s="241"/>
      <c r="W208" s="238"/>
      <c r="X208" s="241"/>
      <c r="Y208" s="238"/>
      <c r="Z208" s="241"/>
      <c r="AA208" s="238"/>
      <c r="AB208" s="241"/>
      <c r="AC208" s="242"/>
      <c r="AD208" s="241"/>
      <c r="AE208" s="238"/>
    </row>
    <row r="209" ht="15.75" customHeight="1">
      <c r="C209" s="266"/>
      <c r="F209" s="96"/>
      <c r="G209" s="96"/>
      <c r="H209" s="241"/>
      <c r="I209" s="238"/>
      <c r="J209" s="241"/>
      <c r="K209" s="239"/>
      <c r="L209" s="242"/>
      <c r="M209" s="96"/>
      <c r="N209" s="241"/>
      <c r="O209" s="238"/>
      <c r="P209" s="241"/>
      <c r="Q209" s="238"/>
      <c r="R209" s="241"/>
      <c r="S209" s="238"/>
      <c r="T209" s="241"/>
      <c r="U209" s="238"/>
      <c r="V209" s="241"/>
      <c r="W209" s="238"/>
      <c r="X209" s="241"/>
      <c r="Y209" s="238"/>
      <c r="Z209" s="241"/>
      <c r="AA209" s="238"/>
      <c r="AB209" s="241"/>
      <c r="AC209" s="242"/>
      <c r="AD209" s="241"/>
      <c r="AE209" s="238"/>
    </row>
    <row r="210" ht="15.75" customHeight="1">
      <c r="C210" s="266"/>
      <c r="F210" s="96"/>
      <c r="G210" s="96"/>
      <c r="H210" s="241"/>
      <c r="I210" s="238"/>
      <c r="J210" s="241"/>
      <c r="K210" s="239"/>
      <c r="L210" s="242"/>
      <c r="M210" s="96"/>
      <c r="N210" s="241"/>
      <c r="O210" s="238"/>
      <c r="P210" s="241"/>
      <c r="Q210" s="238"/>
      <c r="R210" s="241"/>
      <c r="S210" s="238"/>
      <c r="T210" s="241"/>
      <c r="U210" s="238"/>
      <c r="V210" s="241"/>
      <c r="W210" s="238"/>
      <c r="X210" s="241"/>
      <c r="Y210" s="238"/>
      <c r="Z210" s="241"/>
      <c r="AA210" s="238"/>
      <c r="AB210" s="241"/>
      <c r="AC210" s="242"/>
      <c r="AD210" s="241"/>
      <c r="AE210" s="238"/>
    </row>
    <row r="211" ht="15.75" customHeight="1">
      <c r="C211" s="266"/>
      <c r="F211" s="96"/>
      <c r="G211" s="96"/>
      <c r="H211" s="241"/>
      <c r="I211" s="238"/>
      <c r="J211" s="241"/>
      <c r="K211" s="239"/>
      <c r="L211" s="242"/>
      <c r="M211" s="96"/>
      <c r="N211" s="241"/>
      <c r="O211" s="238"/>
      <c r="P211" s="241"/>
      <c r="Q211" s="238"/>
      <c r="R211" s="241"/>
      <c r="S211" s="238"/>
      <c r="T211" s="241"/>
      <c r="U211" s="238"/>
      <c r="V211" s="241"/>
      <c r="W211" s="238"/>
      <c r="X211" s="241"/>
      <c r="Y211" s="238"/>
      <c r="Z211" s="241"/>
      <c r="AA211" s="238"/>
      <c r="AB211" s="241"/>
      <c r="AC211" s="242"/>
      <c r="AD211" s="241"/>
      <c r="AE211" s="238"/>
    </row>
    <row r="212" ht="15.75" customHeight="1">
      <c r="C212" s="266"/>
      <c r="F212" s="96"/>
      <c r="G212" s="96"/>
      <c r="H212" s="241"/>
      <c r="I212" s="238"/>
      <c r="J212" s="241"/>
      <c r="K212" s="239"/>
      <c r="L212" s="242"/>
      <c r="M212" s="96"/>
      <c r="N212" s="241"/>
      <c r="O212" s="238"/>
      <c r="P212" s="241"/>
      <c r="Q212" s="238"/>
      <c r="R212" s="241"/>
      <c r="S212" s="238"/>
      <c r="T212" s="241"/>
      <c r="U212" s="238"/>
      <c r="V212" s="241"/>
      <c r="W212" s="238"/>
      <c r="X212" s="241"/>
      <c r="Y212" s="238"/>
      <c r="Z212" s="241"/>
      <c r="AA212" s="238"/>
      <c r="AB212" s="241"/>
      <c r="AC212" s="242"/>
      <c r="AD212" s="241"/>
      <c r="AE212" s="238"/>
    </row>
    <row r="213" ht="15.75" customHeight="1">
      <c r="C213" s="266"/>
      <c r="F213" s="96"/>
      <c r="G213" s="96"/>
      <c r="H213" s="241"/>
      <c r="I213" s="238"/>
      <c r="J213" s="241"/>
      <c r="K213" s="239"/>
      <c r="L213" s="242"/>
      <c r="M213" s="96"/>
      <c r="N213" s="241"/>
      <c r="O213" s="238"/>
      <c r="P213" s="241"/>
      <c r="Q213" s="238"/>
      <c r="R213" s="241"/>
      <c r="S213" s="238"/>
      <c r="T213" s="241"/>
      <c r="U213" s="238"/>
      <c r="V213" s="241"/>
      <c r="W213" s="238"/>
      <c r="X213" s="241"/>
      <c r="Y213" s="238"/>
      <c r="Z213" s="241"/>
      <c r="AA213" s="238"/>
      <c r="AB213" s="241"/>
      <c r="AC213" s="242"/>
      <c r="AD213" s="241"/>
      <c r="AE213" s="238"/>
    </row>
    <row r="214" ht="15.75" customHeight="1">
      <c r="C214" s="266"/>
      <c r="F214" s="96"/>
      <c r="G214" s="96"/>
      <c r="H214" s="241"/>
      <c r="I214" s="238"/>
      <c r="J214" s="241"/>
      <c r="K214" s="239"/>
      <c r="L214" s="242"/>
      <c r="M214" s="96"/>
      <c r="N214" s="241"/>
      <c r="O214" s="238"/>
      <c r="P214" s="241"/>
      <c r="Q214" s="238"/>
      <c r="R214" s="241"/>
      <c r="S214" s="238"/>
      <c r="T214" s="241"/>
      <c r="U214" s="238"/>
      <c r="V214" s="241"/>
      <c r="W214" s="238"/>
      <c r="X214" s="241"/>
      <c r="Y214" s="238"/>
      <c r="Z214" s="241"/>
      <c r="AA214" s="238"/>
      <c r="AB214" s="241"/>
      <c r="AC214" s="242"/>
      <c r="AD214" s="241"/>
      <c r="AE214" s="238"/>
    </row>
    <row r="215" ht="15.75" customHeight="1">
      <c r="C215" s="266"/>
      <c r="F215" s="96"/>
      <c r="G215" s="96"/>
      <c r="H215" s="241"/>
      <c r="I215" s="238"/>
      <c r="J215" s="241"/>
      <c r="K215" s="239"/>
      <c r="L215" s="242"/>
      <c r="M215" s="96"/>
      <c r="N215" s="241"/>
      <c r="O215" s="238"/>
      <c r="P215" s="241"/>
      <c r="Q215" s="238"/>
      <c r="R215" s="241"/>
      <c r="S215" s="238"/>
      <c r="T215" s="241"/>
      <c r="U215" s="238"/>
      <c r="V215" s="241"/>
      <c r="W215" s="238"/>
      <c r="X215" s="241"/>
      <c r="Y215" s="238"/>
      <c r="Z215" s="241"/>
      <c r="AA215" s="238"/>
      <c r="AB215" s="241"/>
      <c r="AC215" s="242"/>
      <c r="AD215" s="241"/>
      <c r="AE215" s="238"/>
    </row>
    <row r="216" ht="15.75" customHeight="1">
      <c r="C216" s="266"/>
      <c r="F216" s="96"/>
      <c r="G216" s="96"/>
      <c r="H216" s="241"/>
      <c r="I216" s="238"/>
      <c r="J216" s="241"/>
      <c r="K216" s="239"/>
      <c r="L216" s="242"/>
      <c r="M216" s="96"/>
      <c r="N216" s="241"/>
      <c r="O216" s="238"/>
      <c r="P216" s="241"/>
      <c r="Q216" s="238"/>
      <c r="R216" s="241"/>
      <c r="S216" s="238"/>
      <c r="T216" s="241"/>
      <c r="U216" s="238"/>
      <c r="V216" s="241"/>
      <c r="W216" s="238"/>
      <c r="X216" s="241"/>
      <c r="Y216" s="238"/>
      <c r="Z216" s="241"/>
      <c r="AA216" s="238"/>
      <c r="AB216" s="241"/>
      <c r="AC216" s="242"/>
      <c r="AD216" s="241"/>
      <c r="AE216" s="238"/>
    </row>
    <row r="217" ht="15.75" customHeight="1">
      <c r="C217" s="266"/>
      <c r="F217" s="96"/>
      <c r="G217" s="96"/>
      <c r="H217" s="241"/>
      <c r="I217" s="238"/>
      <c r="J217" s="241"/>
      <c r="K217" s="239"/>
      <c r="L217" s="242"/>
      <c r="M217" s="96"/>
      <c r="N217" s="241"/>
      <c r="O217" s="238"/>
      <c r="P217" s="241"/>
      <c r="Q217" s="238"/>
      <c r="R217" s="241"/>
      <c r="S217" s="238"/>
      <c r="T217" s="241"/>
      <c r="U217" s="238"/>
      <c r="V217" s="241"/>
      <c r="W217" s="238"/>
      <c r="X217" s="241"/>
      <c r="Y217" s="238"/>
      <c r="Z217" s="241"/>
      <c r="AA217" s="238"/>
      <c r="AB217" s="241"/>
      <c r="AC217" s="242"/>
      <c r="AD217" s="241"/>
      <c r="AE217" s="238"/>
    </row>
    <row r="218" ht="15.75" customHeight="1">
      <c r="C218" s="266"/>
      <c r="F218" s="96"/>
      <c r="G218" s="96"/>
      <c r="H218" s="241"/>
      <c r="I218" s="238"/>
      <c r="J218" s="241"/>
      <c r="K218" s="239"/>
      <c r="L218" s="242"/>
      <c r="M218" s="96"/>
      <c r="N218" s="241"/>
      <c r="O218" s="238"/>
      <c r="P218" s="241"/>
      <c r="Q218" s="238"/>
      <c r="R218" s="241"/>
      <c r="S218" s="238"/>
      <c r="T218" s="241"/>
      <c r="U218" s="238"/>
      <c r="V218" s="241"/>
      <c r="W218" s="238"/>
      <c r="X218" s="241"/>
      <c r="Y218" s="238"/>
      <c r="Z218" s="241"/>
      <c r="AA218" s="238"/>
      <c r="AB218" s="241"/>
      <c r="AC218" s="242"/>
      <c r="AD218" s="241"/>
      <c r="AE218" s="238"/>
    </row>
    <row r="219" ht="15.75" customHeight="1">
      <c r="C219" s="266"/>
      <c r="F219" s="96"/>
      <c r="G219" s="96"/>
      <c r="H219" s="241"/>
      <c r="I219" s="238"/>
      <c r="J219" s="241"/>
      <c r="K219" s="239"/>
      <c r="L219" s="242"/>
      <c r="M219" s="96"/>
      <c r="N219" s="241"/>
      <c r="O219" s="238"/>
      <c r="P219" s="241"/>
      <c r="Q219" s="238"/>
      <c r="R219" s="241"/>
      <c r="S219" s="238"/>
      <c r="T219" s="241"/>
      <c r="U219" s="238"/>
      <c r="V219" s="241"/>
      <c r="W219" s="238"/>
      <c r="X219" s="241"/>
      <c r="Y219" s="238"/>
      <c r="Z219" s="241"/>
      <c r="AA219" s="238"/>
      <c r="AB219" s="241"/>
      <c r="AC219" s="242"/>
      <c r="AD219" s="241"/>
      <c r="AE219" s="238"/>
    </row>
    <row r="220" ht="15.75" customHeight="1">
      <c r="C220" s="266"/>
      <c r="F220" s="96"/>
      <c r="G220" s="96"/>
      <c r="H220" s="241"/>
      <c r="I220" s="238"/>
      <c r="J220" s="241"/>
      <c r="K220" s="239"/>
      <c r="L220" s="242"/>
      <c r="M220" s="96"/>
      <c r="N220" s="241"/>
      <c r="O220" s="238"/>
      <c r="P220" s="241"/>
      <c r="Q220" s="238"/>
      <c r="R220" s="241"/>
      <c r="S220" s="238"/>
      <c r="T220" s="241"/>
      <c r="U220" s="238"/>
      <c r="V220" s="241"/>
      <c r="W220" s="238"/>
      <c r="X220" s="241"/>
      <c r="Y220" s="238"/>
      <c r="Z220" s="241"/>
      <c r="AA220" s="238"/>
      <c r="AB220" s="241"/>
      <c r="AC220" s="242"/>
      <c r="AD220" s="241"/>
      <c r="AE220" s="238"/>
    </row>
    <row r="221" ht="15.75" customHeight="1">
      <c r="C221" s="266"/>
      <c r="F221" s="96"/>
      <c r="G221" s="96"/>
      <c r="H221" s="241"/>
      <c r="I221" s="238"/>
      <c r="J221" s="241"/>
      <c r="K221" s="239"/>
      <c r="L221" s="242"/>
      <c r="M221" s="96"/>
      <c r="N221" s="241"/>
      <c r="O221" s="238"/>
      <c r="P221" s="241"/>
      <c r="Q221" s="238"/>
      <c r="R221" s="241"/>
      <c r="S221" s="238"/>
      <c r="T221" s="241"/>
      <c r="U221" s="238"/>
      <c r="V221" s="241"/>
      <c r="W221" s="238"/>
      <c r="X221" s="241"/>
      <c r="Y221" s="238"/>
      <c r="Z221" s="241"/>
      <c r="AA221" s="238"/>
      <c r="AB221" s="241"/>
      <c r="AC221" s="242"/>
      <c r="AD221" s="241"/>
      <c r="AE221" s="238"/>
    </row>
    <row r="222" ht="15.75" customHeight="1">
      <c r="C222" s="266"/>
      <c r="F222" s="96"/>
      <c r="G222" s="96"/>
      <c r="H222" s="241"/>
      <c r="I222" s="238"/>
      <c r="J222" s="241"/>
      <c r="K222" s="239"/>
      <c r="L222" s="242"/>
      <c r="M222" s="96"/>
      <c r="N222" s="241"/>
      <c r="O222" s="238"/>
      <c r="P222" s="241"/>
      <c r="Q222" s="238"/>
      <c r="R222" s="241"/>
      <c r="S222" s="238"/>
      <c r="T222" s="241"/>
      <c r="U222" s="238"/>
      <c r="V222" s="241"/>
      <c r="W222" s="238"/>
      <c r="X222" s="241"/>
      <c r="Y222" s="238"/>
      <c r="Z222" s="241"/>
      <c r="AA222" s="238"/>
      <c r="AB222" s="241"/>
      <c r="AC222" s="242"/>
      <c r="AD222" s="241"/>
      <c r="AE222" s="238"/>
    </row>
    <row r="223" ht="15.75" customHeight="1">
      <c r="C223" s="266"/>
      <c r="F223" s="96"/>
      <c r="G223" s="96"/>
      <c r="H223" s="241"/>
      <c r="I223" s="238"/>
      <c r="J223" s="241"/>
      <c r="K223" s="239"/>
      <c r="L223" s="242"/>
      <c r="M223" s="96"/>
      <c r="N223" s="241"/>
      <c r="O223" s="238"/>
      <c r="P223" s="241"/>
      <c r="Q223" s="238"/>
      <c r="R223" s="241"/>
      <c r="S223" s="238"/>
      <c r="T223" s="241"/>
      <c r="U223" s="238"/>
      <c r="V223" s="241"/>
      <c r="W223" s="238"/>
      <c r="X223" s="241"/>
      <c r="Y223" s="238"/>
      <c r="Z223" s="241"/>
      <c r="AA223" s="238"/>
      <c r="AB223" s="241"/>
      <c r="AC223" s="242"/>
      <c r="AD223" s="241"/>
      <c r="AE223" s="238"/>
    </row>
    <row r="224" ht="15.75" customHeight="1">
      <c r="C224" s="266"/>
      <c r="F224" s="96"/>
      <c r="G224" s="96"/>
      <c r="H224" s="241"/>
      <c r="I224" s="238"/>
      <c r="J224" s="241"/>
      <c r="K224" s="239"/>
      <c r="L224" s="242"/>
      <c r="M224" s="96"/>
      <c r="N224" s="241"/>
      <c r="O224" s="238"/>
      <c r="P224" s="241"/>
      <c r="Q224" s="238"/>
      <c r="R224" s="241"/>
      <c r="S224" s="238"/>
      <c r="T224" s="241"/>
      <c r="U224" s="238"/>
      <c r="V224" s="241"/>
      <c r="W224" s="238"/>
      <c r="X224" s="241"/>
      <c r="Y224" s="238"/>
      <c r="Z224" s="241"/>
      <c r="AA224" s="238"/>
      <c r="AB224" s="241"/>
      <c r="AC224" s="242"/>
      <c r="AD224" s="241"/>
      <c r="AE224" s="238"/>
    </row>
    <row r="225" ht="15.75" customHeight="1">
      <c r="C225" s="266"/>
      <c r="F225" s="96"/>
      <c r="G225" s="96"/>
      <c r="H225" s="241"/>
      <c r="I225" s="238"/>
      <c r="J225" s="241"/>
      <c r="K225" s="239"/>
      <c r="L225" s="242"/>
      <c r="M225" s="96"/>
      <c r="N225" s="241"/>
      <c r="O225" s="238"/>
      <c r="P225" s="241"/>
      <c r="Q225" s="238"/>
      <c r="R225" s="241"/>
      <c r="S225" s="238"/>
      <c r="T225" s="241"/>
      <c r="U225" s="238"/>
      <c r="V225" s="241"/>
      <c r="W225" s="238"/>
      <c r="X225" s="241"/>
      <c r="Y225" s="238"/>
      <c r="Z225" s="241"/>
      <c r="AA225" s="238"/>
      <c r="AB225" s="241"/>
      <c r="AC225" s="242"/>
      <c r="AD225" s="241"/>
      <c r="AE225" s="238"/>
    </row>
    <row r="226" ht="15.75" customHeight="1">
      <c r="C226" s="266"/>
      <c r="F226" s="96"/>
      <c r="G226" s="96"/>
      <c r="H226" s="241"/>
      <c r="I226" s="238"/>
      <c r="J226" s="241"/>
      <c r="K226" s="239"/>
      <c r="L226" s="242"/>
      <c r="M226" s="96"/>
      <c r="N226" s="241"/>
      <c r="O226" s="238"/>
      <c r="P226" s="241"/>
      <c r="Q226" s="238"/>
      <c r="R226" s="241"/>
      <c r="S226" s="238"/>
      <c r="T226" s="241"/>
      <c r="U226" s="238"/>
      <c r="V226" s="241"/>
      <c r="W226" s="238"/>
      <c r="X226" s="241"/>
      <c r="Y226" s="238"/>
      <c r="Z226" s="241"/>
      <c r="AA226" s="238"/>
      <c r="AB226" s="241"/>
      <c r="AC226" s="242"/>
      <c r="AD226" s="241"/>
      <c r="AE226" s="238"/>
    </row>
    <row r="227" ht="15.75" customHeight="1">
      <c r="C227" s="266"/>
      <c r="F227" s="96"/>
      <c r="G227" s="96"/>
      <c r="H227" s="241"/>
      <c r="I227" s="238"/>
      <c r="J227" s="241"/>
      <c r="K227" s="239"/>
      <c r="L227" s="242"/>
      <c r="M227" s="96"/>
      <c r="N227" s="241"/>
      <c r="O227" s="238"/>
      <c r="P227" s="241"/>
      <c r="Q227" s="238"/>
      <c r="R227" s="241"/>
      <c r="S227" s="238"/>
      <c r="T227" s="241"/>
      <c r="U227" s="238"/>
      <c r="V227" s="241"/>
      <c r="W227" s="238"/>
      <c r="X227" s="241"/>
      <c r="Y227" s="238"/>
      <c r="Z227" s="241"/>
      <c r="AA227" s="238"/>
      <c r="AB227" s="241"/>
      <c r="AC227" s="242"/>
      <c r="AD227" s="241"/>
      <c r="AE227" s="238"/>
    </row>
    <row r="228" ht="15.75" customHeight="1">
      <c r="C228" s="266"/>
      <c r="F228" s="96"/>
      <c r="G228" s="96"/>
      <c r="H228" s="241"/>
      <c r="I228" s="238"/>
      <c r="J228" s="241"/>
      <c r="K228" s="239"/>
      <c r="L228" s="242"/>
      <c r="M228" s="96"/>
      <c r="N228" s="241"/>
      <c r="O228" s="238"/>
      <c r="P228" s="241"/>
      <c r="Q228" s="238"/>
      <c r="R228" s="241"/>
      <c r="S228" s="238"/>
      <c r="T228" s="241"/>
      <c r="U228" s="238"/>
      <c r="V228" s="241"/>
      <c r="W228" s="238"/>
      <c r="X228" s="241"/>
      <c r="Y228" s="238"/>
      <c r="Z228" s="241"/>
      <c r="AA228" s="238"/>
      <c r="AB228" s="241"/>
      <c r="AC228" s="242"/>
      <c r="AD228" s="241"/>
      <c r="AE228" s="238"/>
    </row>
    <row r="229" ht="15.75" customHeight="1">
      <c r="C229" s="266"/>
      <c r="F229" s="96"/>
      <c r="G229" s="96"/>
      <c r="H229" s="241"/>
      <c r="I229" s="238"/>
      <c r="J229" s="241"/>
      <c r="K229" s="239"/>
      <c r="L229" s="242"/>
      <c r="M229" s="96"/>
      <c r="N229" s="241"/>
      <c r="O229" s="238"/>
      <c r="P229" s="241"/>
      <c r="Q229" s="238"/>
      <c r="R229" s="241"/>
      <c r="S229" s="238"/>
      <c r="T229" s="241"/>
      <c r="U229" s="238"/>
      <c r="V229" s="241"/>
      <c r="W229" s="238"/>
      <c r="X229" s="241"/>
      <c r="Y229" s="238"/>
      <c r="Z229" s="241"/>
      <c r="AA229" s="238"/>
      <c r="AB229" s="241"/>
      <c r="AC229" s="242"/>
      <c r="AD229" s="241"/>
      <c r="AE229" s="238"/>
    </row>
    <row r="230" ht="15.75" customHeight="1">
      <c r="C230" s="266"/>
      <c r="F230" s="96"/>
      <c r="G230" s="96"/>
      <c r="H230" s="241"/>
      <c r="I230" s="238"/>
      <c r="J230" s="241"/>
      <c r="K230" s="239"/>
      <c r="L230" s="242"/>
      <c r="M230" s="96"/>
      <c r="N230" s="241"/>
      <c r="O230" s="238"/>
      <c r="P230" s="241"/>
      <c r="Q230" s="238"/>
      <c r="R230" s="241"/>
      <c r="S230" s="238"/>
      <c r="T230" s="241"/>
      <c r="U230" s="238"/>
      <c r="V230" s="241"/>
      <c r="W230" s="238"/>
      <c r="X230" s="241"/>
      <c r="Y230" s="238"/>
      <c r="Z230" s="241"/>
      <c r="AA230" s="238"/>
      <c r="AB230" s="241"/>
      <c r="AC230" s="242"/>
      <c r="AD230" s="241"/>
      <c r="AE230" s="238"/>
    </row>
    <row r="231" ht="15.75" customHeight="1">
      <c r="C231" s="266"/>
      <c r="F231" s="96"/>
      <c r="G231" s="96"/>
      <c r="H231" s="241"/>
      <c r="I231" s="238"/>
      <c r="J231" s="241"/>
      <c r="K231" s="239"/>
      <c r="L231" s="242"/>
      <c r="M231" s="96"/>
      <c r="N231" s="241"/>
      <c r="O231" s="238"/>
      <c r="P231" s="241"/>
      <c r="Q231" s="238"/>
      <c r="R231" s="241"/>
      <c r="S231" s="238"/>
      <c r="T231" s="241"/>
      <c r="U231" s="238"/>
      <c r="V231" s="241"/>
      <c r="W231" s="238"/>
      <c r="X231" s="241"/>
      <c r="Y231" s="238"/>
      <c r="Z231" s="241"/>
      <c r="AA231" s="238"/>
      <c r="AB231" s="241"/>
      <c r="AC231" s="242"/>
      <c r="AD231" s="241"/>
      <c r="AE231" s="238"/>
    </row>
    <row r="232" ht="15.75" customHeight="1">
      <c r="C232" s="266"/>
      <c r="F232" s="96"/>
      <c r="G232" s="96"/>
      <c r="H232" s="241"/>
      <c r="I232" s="238"/>
      <c r="J232" s="241"/>
      <c r="K232" s="239"/>
      <c r="L232" s="242"/>
      <c r="M232" s="96"/>
      <c r="N232" s="241"/>
      <c r="O232" s="238"/>
      <c r="P232" s="241"/>
      <c r="Q232" s="238"/>
      <c r="R232" s="241"/>
      <c r="S232" s="238"/>
      <c r="T232" s="241"/>
      <c r="U232" s="238"/>
      <c r="V232" s="241"/>
      <c r="W232" s="238"/>
      <c r="X232" s="241"/>
      <c r="Y232" s="238"/>
      <c r="Z232" s="241"/>
      <c r="AA232" s="238"/>
      <c r="AB232" s="241"/>
      <c r="AC232" s="242"/>
      <c r="AD232" s="241"/>
      <c r="AE232" s="238"/>
    </row>
    <row r="233" ht="15.75" customHeight="1">
      <c r="C233" s="266"/>
      <c r="F233" s="96"/>
      <c r="G233" s="96"/>
      <c r="H233" s="241"/>
      <c r="I233" s="238"/>
      <c r="J233" s="241"/>
      <c r="K233" s="239"/>
      <c r="L233" s="242"/>
      <c r="M233" s="96"/>
      <c r="N233" s="241"/>
      <c r="O233" s="238"/>
      <c r="P233" s="241"/>
      <c r="Q233" s="238"/>
      <c r="R233" s="241"/>
      <c r="S233" s="238"/>
      <c r="T233" s="241"/>
      <c r="U233" s="238"/>
      <c r="V233" s="241"/>
      <c r="W233" s="238"/>
      <c r="X233" s="241"/>
      <c r="Y233" s="238"/>
      <c r="Z233" s="241"/>
      <c r="AA233" s="238"/>
      <c r="AB233" s="241"/>
      <c r="AC233" s="242"/>
      <c r="AD233" s="241"/>
      <c r="AE233" s="238"/>
    </row>
    <row r="234" ht="15.75" customHeight="1">
      <c r="C234" s="266"/>
      <c r="F234" s="96"/>
      <c r="G234" s="96"/>
      <c r="H234" s="241"/>
      <c r="I234" s="238"/>
      <c r="J234" s="241"/>
      <c r="K234" s="239"/>
      <c r="L234" s="242"/>
      <c r="M234" s="96"/>
      <c r="N234" s="241"/>
      <c r="O234" s="238"/>
      <c r="P234" s="241"/>
      <c r="Q234" s="238"/>
      <c r="R234" s="241"/>
      <c r="S234" s="238"/>
      <c r="T234" s="241"/>
      <c r="U234" s="238"/>
      <c r="V234" s="241"/>
      <c r="W234" s="238"/>
      <c r="X234" s="241"/>
      <c r="Y234" s="238"/>
      <c r="Z234" s="241"/>
      <c r="AA234" s="238"/>
      <c r="AB234" s="241"/>
      <c r="AC234" s="242"/>
      <c r="AD234" s="241"/>
      <c r="AE234" s="238"/>
    </row>
    <row r="235" ht="15.75" customHeight="1">
      <c r="C235" s="266"/>
      <c r="F235" s="96"/>
      <c r="G235" s="96"/>
      <c r="H235" s="241"/>
      <c r="I235" s="238"/>
      <c r="J235" s="241"/>
      <c r="K235" s="239"/>
      <c r="L235" s="242"/>
      <c r="M235" s="96"/>
      <c r="N235" s="241"/>
      <c r="O235" s="238"/>
      <c r="P235" s="241"/>
      <c r="Q235" s="238"/>
      <c r="R235" s="241"/>
      <c r="S235" s="238"/>
      <c r="T235" s="241"/>
      <c r="U235" s="238"/>
      <c r="V235" s="241"/>
      <c r="W235" s="238"/>
      <c r="X235" s="241"/>
      <c r="Y235" s="238"/>
      <c r="Z235" s="241"/>
      <c r="AA235" s="238"/>
      <c r="AB235" s="241"/>
      <c r="AC235" s="242"/>
      <c r="AD235" s="241"/>
      <c r="AE235" s="238"/>
    </row>
    <row r="236" ht="15.75" customHeight="1">
      <c r="C236" s="266"/>
      <c r="F236" s="96"/>
      <c r="G236" s="96"/>
      <c r="H236" s="241"/>
      <c r="I236" s="238"/>
      <c r="J236" s="241"/>
      <c r="K236" s="239"/>
      <c r="L236" s="242"/>
      <c r="M236" s="96"/>
      <c r="N236" s="241"/>
      <c r="O236" s="238"/>
      <c r="P236" s="241"/>
      <c r="Q236" s="238"/>
      <c r="R236" s="241"/>
      <c r="S236" s="238"/>
      <c r="T236" s="241"/>
      <c r="U236" s="238"/>
      <c r="V236" s="241"/>
      <c r="W236" s="238"/>
      <c r="X236" s="241"/>
      <c r="Y236" s="238"/>
      <c r="Z236" s="241"/>
      <c r="AA236" s="238"/>
      <c r="AB236" s="241"/>
      <c r="AC236" s="242"/>
      <c r="AD236" s="241"/>
      <c r="AE236" s="238"/>
    </row>
    <row r="237" ht="15.75" customHeight="1">
      <c r="C237" s="266"/>
      <c r="F237" s="96"/>
      <c r="G237" s="96"/>
      <c r="H237" s="241"/>
      <c r="I237" s="238"/>
      <c r="J237" s="241"/>
      <c r="K237" s="239"/>
      <c r="L237" s="242"/>
      <c r="M237" s="96"/>
      <c r="N237" s="241"/>
      <c r="O237" s="238"/>
      <c r="P237" s="241"/>
      <c r="Q237" s="238"/>
      <c r="R237" s="241"/>
      <c r="S237" s="238"/>
      <c r="T237" s="241"/>
      <c r="U237" s="238"/>
      <c r="V237" s="241"/>
      <c r="W237" s="238"/>
      <c r="X237" s="241"/>
      <c r="Y237" s="238"/>
      <c r="Z237" s="241"/>
      <c r="AA237" s="238"/>
      <c r="AB237" s="241"/>
      <c r="AC237" s="242"/>
      <c r="AD237" s="241"/>
      <c r="AE237" s="238"/>
    </row>
    <row r="238" ht="15.75" customHeight="1">
      <c r="C238" s="266"/>
      <c r="F238" s="96"/>
      <c r="G238" s="96"/>
      <c r="H238" s="241"/>
      <c r="I238" s="238"/>
      <c r="J238" s="241"/>
      <c r="K238" s="239"/>
      <c r="L238" s="242"/>
      <c r="M238" s="96"/>
      <c r="N238" s="241"/>
      <c r="O238" s="238"/>
      <c r="P238" s="241"/>
      <c r="Q238" s="238"/>
      <c r="R238" s="241"/>
      <c r="S238" s="238"/>
      <c r="T238" s="241"/>
      <c r="U238" s="238"/>
      <c r="V238" s="241"/>
      <c r="W238" s="238"/>
      <c r="X238" s="241"/>
      <c r="Y238" s="238"/>
      <c r="Z238" s="241"/>
      <c r="AA238" s="238"/>
      <c r="AB238" s="241"/>
      <c r="AC238" s="242"/>
      <c r="AD238" s="241"/>
      <c r="AE238" s="238"/>
    </row>
    <row r="239" ht="15.75" customHeight="1">
      <c r="C239" s="266"/>
      <c r="F239" s="96"/>
      <c r="G239" s="96"/>
      <c r="H239" s="241"/>
      <c r="I239" s="238"/>
      <c r="J239" s="241"/>
      <c r="K239" s="239"/>
      <c r="L239" s="242"/>
      <c r="M239" s="96"/>
      <c r="N239" s="241"/>
      <c r="O239" s="238"/>
      <c r="P239" s="241"/>
      <c r="Q239" s="238"/>
      <c r="R239" s="241"/>
      <c r="S239" s="238"/>
      <c r="T239" s="241"/>
      <c r="U239" s="238"/>
      <c r="V239" s="241"/>
      <c r="W239" s="238"/>
      <c r="X239" s="241"/>
      <c r="Y239" s="238"/>
      <c r="Z239" s="241"/>
      <c r="AA239" s="238"/>
      <c r="AB239" s="241"/>
      <c r="AC239" s="242"/>
      <c r="AD239" s="241"/>
      <c r="AE239" s="238"/>
    </row>
    <row r="240" ht="15.75" customHeight="1">
      <c r="C240" s="266"/>
      <c r="F240" s="96"/>
      <c r="G240" s="96"/>
      <c r="H240" s="241"/>
      <c r="I240" s="238"/>
      <c r="J240" s="241"/>
      <c r="K240" s="239"/>
      <c r="L240" s="242"/>
      <c r="M240" s="96"/>
      <c r="N240" s="241"/>
      <c r="O240" s="238"/>
      <c r="P240" s="241"/>
      <c r="Q240" s="238"/>
      <c r="R240" s="241"/>
      <c r="S240" s="238"/>
      <c r="T240" s="241"/>
      <c r="U240" s="238"/>
      <c r="V240" s="241"/>
      <c r="W240" s="238"/>
      <c r="X240" s="241"/>
      <c r="Y240" s="238"/>
      <c r="Z240" s="241"/>
      <c r="AA240" s="238"/>
      <c r="AB240" s="241"/>
      <c r="AC240" s="242"/>
      <c r="AD240" s="241"/>
      <c r="AE240" s="238"/>
    </row>
    <row r="241" ht="15.75" customHeight="1">
      <c r="C241" s="266"/>
      <c r="F241" s="96"/>
      <c r="G241" s="96"/>
      <c r="H241" s="241"/>
      <c r="I241" s="238"/>
      <c r="J241" s="241"/>
      <c r="K241" s="239"/>
      <c r="L241" s="242"/>
      <c r="M241" s="96"/>
      <c r="N241" s="241"/>
      <c r="O241" s="238"/>
      <c r="P241" s="241"/>
      <c r="Q241" s="238"/>
      <c r="R241" s="241"/>
      <c r="S241" s="238"/>
      <c r="T241" s="241"/>
      <c r="U241" s="238"/>
      <c r="V241" s="241"/>
      <c r="W241" s="238"/>
      <c r="X241" s="241"/>
      <c r="Y241" s="238"/>
      <c r="Z241" s="241"/>
      <c r="AA241" s="238"/>
      <c r="AB241" s="241"/>
      <c r="AC241" s="242"/>
      <c r="AD241" s="241"/>
      <c r="AE241" s="238"/>
    </row>
    <row r="242" ht="15.75" customHeight="1">
      <c r="C242" s="266"/>
      <c r="F242" s="96"/>
      <c r="G242" s="96"/>
      <c r="H242" s="241"/>
      <c r="I242" s="238"/>
      <c r="J242" s="241"/>
      <c r="K242" s="239"/>
      <c r="L242" s="242"/>
      <c r="M242" s="96"/>
      <c r="N242" s="241"/>
      <c r="O242" s="238"/>
      <c r="P242" s="241"/>
      <c r="Q242" s="238"/>
      <c r="R242" s="241"/>
      <c r="S242" s="238"/>
      <c r="T242" s="241"/>
      <c r="U242" s="238"/>
      <c r="V242" s="241"/>
      <c r="W242" s="238"/>
      <c r="X242" s="241"/>
      <c r="Y242" s="238"/>
      <c r="Z242" s="241"/>
      <c r="AA242" s="238"/>
      <c r="AB242" s="241"/>
      <c r="AC242" s="242"/>
      <c r="AD242" s="241"/>
      <c r="AE242" s="238"/>
    </row>
    <row r="243" ht="15.75" customHeight="1">
      <c r="C243" s="266"/>
      <c r="F243" s="96"/>
      <c r="G243" s="96"/>
      <c r="H243" s="241"/>
      <c r="I243" s="238"/>
      <c r="J243" s="241"/>
      <c r="K243" s="239"/>
      <c r="L243" s="242"/>
      <c r="M243" s="96"/>
      <c r="N243" s="241"/>
      <c r="O243" s="238"/>
      <c r="P243" s="241"/>
      <c r="Q243" s="238"/>
      <c r="R243" s="241"/>
      <c r="S243" s="238"/>
      <c r="T243" s="241"/>
      <c r="U243" s="238"/>
      <c r="V243" s="241"/>
      <c r="W243" s="238"/>
      <c r="X243" s="241"/>
      <c r="Y243" s="238"/>
      <c r="Z243" s="241"/>
      <c r="AA243" s="238"/>
      <c r="AB243" s="241"/>
      <c r="AC243" s="242"/>
      <c r="AD243" s="241"/>
      <c r="AE243" s="238"/>
    </row>
    <row r="244" ht="15.75" customHeight="1">
      <c r="C244" s="266"/>
      <c r="F244" s="96"/>
      <c r="G244" s="96"/>
      <c r="H244" s="241"/>
      <c r="I244" s="238"/>
      <c r="J244" s="241"/>
      <c r="K244" s="239"/>
      <c r="L244" s="242"/>
      <c r="M244" s="96"/>
      <c r="N244" s="241"/>
      <c r="O244" s="238"/>
      <c r="P244" s="241"/>
      <c r="Q244" s="238"/>
      <c r="R244" s="241"/>
      <c r="S244" s="238"/>
      <c r="T244" s="241"/>
      <c r="U244" s="238"/>
      <c r="V244" s="241"/>
      <c r="W244" s="238"/>
      <c r="X244" s="241"/>
      <c r="Y244" s="238"/>
      <c r="Z244" s="241"/>
      <c r="AA244" s="238"/>
      <c r="AB244" s="241"/>
      <c r="AC244" s="242"/>
      <c r="AD244" s="241"/>
      <c r="AE244" s="238"/>
    </row>
    <row r="245" ht="15.75" customHeight="1">
      <c r="C245" s="266"/>
      <c r="F245" s="96"/>
      <c r="G245" s="96"/>
      <c r="H245" s="241"/>
      <c r="I245" s="238"/>
      <c r="J245" s="241"/>
      <c r="K245" s="239"/>
      <c r="L245" s="242"/>
      <c r="M245" s="96"/>
      <c r="N245" s="241"/>
      <c r="O245" s="238"/>
      <c r="P245" s="241"/>
      <c r="Q245" s="238"/>
      <c r="R245" s="241"/>
      <c r="S245" s="238"/>
      <c r="T245" s="241"/>
      <c r="U245" s="238"/>
      <c r="V245" s="241"/>
      <c r="W245" s="238"/>
      <c r="X245" s="241"/>
      <c r="Y245" s="238"/>
      <c r="Z245" s="241"/>
      <c r="AA245" s="238"/>
      <c r="AB245" s="241"/>
      <c r="AC245" s="242"/>
      <c r="AD245" s="241"/>
      <c r="AE245" s="238"/>
    </row>
    <row r="246" ht="15.75" customHeight="1">
      <c r="C246" s="266"/>
      <c r="F246" s="96"/>
      <c r="G246" s="96"/>
      <c r="H246" s="241"/>
      <c r="I246" s="238"/>
      <c r="J246" s="241"/>
      <c r="K246" s="239"/>
      <c r="L246" s="242"/>
      <c r="M246" s="96"/>
      <c r="N246" s="241"/>
      <c r="O246" s="238"/>
      <c r="P246" s="241"/>
      <c r="Q246" s="238"/>
      <c r="R246" s="241"/>
      <c r="S246" s="238"/>
      <c r="T246" s="241"/>
      <c r="U246" s="238"/>
      <c r="V246" s="241"/>
      <c r="W246" s="238"/>
      <c r="X246" s="241"/>
      <c r="Y246" s="238"/>
      <c r="Z246" s="241"/>
      <c r="AA246" s="238"/>
      <c r="AB246" s="241"/>
      <c r="AC246" s="242"/>
      <c r="AD246" s="241"/>
      <c r="AE246" s="238"/>
    </row>
    <row r="247" ht="15.75" customHeight="1">
      <c r="C247" s="266"/>
      <c r="F247" s="96"/>
      <c r="G247" s="96"/>
      <c r="H247" s="241"/>
      <c r="I247" s="238"/>
      <c r="J247" s="241"/>
      <c r="K247" s="239"/>
      <c r="L247" s="242"/>
      <c r="M247" s="96"/>
      <c r="N247" s="241"/>
      <c r="O247" s="238"/>
      <c r="P247" s="241"/>
      <c r="Q247" s="238"/>
      <c r="R247" s="241"/>
      <c r="S247" s="238"/>
      <c r="T247" s="241"/>
      <c r="U247" s="238"/>
      <c r="V247" s="241"/>
      <c r="W247" s="238"/>
      <c r="X247" s="241"/>
      <c r="Y247" s="238"/>
      <c r="Z247" s="241"/>
      <c r="AA247" s="238"/>
      <c r="AB247" s="241"/>
      <c r="AC247" s="242"/>
      <c r="AD247" s="241"/>
      <c r="AE247" s="238"/>
    </row>
    <row r="248" ht="15.75" customHeight="1">
      <c r="C248" s="266"/>
      <c r="F248" s="96"/>
      <c r="G248" s="96"/>
      <c r="H248" s="241"/>
      <c r="I248" s="238"/>
      <c r="J248" s="241"/>
      <c r="K248" s="239"/>
      <c r="L248" s="242"/>
      <c r="M248" s="96"/>
      <c r="N248" s="241"/>
      <c r="O248" s="238"/>
      <c r="P248" s="241"/>
      <c r="Q248" s="238"/>
      <c r="R248" s="241"/>
      <c r="S248" s="238"/>
      <c r="T248" s="241"/>
      <c r="U248" s="238"/>
      <c r="V248" s="241"/>
      <c r="W248" s="238"/>
      <c r="X248" s="241"/>
      <c r="Y248" s="238"/>
      <c r="Z248" s="241"/>
      <c r="AA248" s="238"/>
      <c r="AB248" s="241"/>
      <c r="AC248" s="242"/>
      <c r="AD248" s="241"/>
      <c r="AE248" s="238"/>
    </row>
    <row r="249" ht="15.75" customHeight="1">
      <c r="C249" s="266"/>
      <c r="F249" s="96"/>
      <c r="G249" s="96"/>
      <c r="H249" s="241"/>
      <c r="I249" s="238"/>
      <c r="J249" s="241"/>
      <c r="K249" s="239"/>
      <c r="L249" s="242"/>
      <c r="M249" s="96"/>
      <c r="N249" s="241"/>
      <c r="O249" s="238"/>
      <c r="P249" s="241"/>
      <c r="Q249" s="238"/>
      <c r="R249" s="241"/>
      <c r="S249" s="238"/>
      <c r="T249" s="241"/>
      <c r="U249" s="238"/>
      <c r="V249" s="241"/>
      <c r="W249" s="238"/>
      <c r="X249" s="241"/>
      <c r="Y249" s="238"/>
      <c r="Z249" s="241"/>
      <c r="AA249" s="238"/>
      <c r="AB249" s="241"/>
      <c r="AC249" s="242"/>
      <c r="AD249" s="241"/>
      <c r="AE249" s="238"/>
    </row>
    <row r="250" ht="15.75" customHeight="1">
      <c r="C250" s="266"/>
      <c r="F250" s="96"/>
      <c r="G250" s="96"/>
      <c r="H250" s="241"/>
      <c r="I250" s="238"/>
      <c r="J250" s="241"/>
      <c r="K250" s="239"/>
      <c r="L250" s="242"/>
      <c r="M250" s="96"/>
      <c r="N250" s="241"/>
      <c r="O250" s="238"/>
      <c r="P250" s="241"/>
      <c r="Q250" s="238"/>
      <c r="R250" s="241"/>
      <c r="S250" s="238"/>
      <c r="T250" s="241"/>
      <c r="U250" s="238"/>
      <c r="V250" s="241"/>
      <c r="W250" s="238"/>
      <c r="X250" s="241"/>
      <c r="Y250" s="238"/>
      <c r="Z250" s="241"/>
      <c r="AA250" s="238"/>
      <c r="AB250" s="241"/>
      <c r="AC250" s="242"/>
      <c r="AD250" s="241"/>
      <c r="AE250" s="238"/>
    </row>
    <row r="251" ht="15.75" customHeight="1">
      <c r="C251" s="266"/>
      <c r="F251" s="96"/>
      <c r="G251" s="96"/>
      <c r="H251" s="241"/>
      <c r="I251" s="238"/>
      <c r="J251" s="241"/>
      <c r="K251" s="239"/>
      <c r="L251" s="242"/>
      <c r="M251" s="96"/>
      <c r="N251" s="241"/>
      <c r="O251" s="238"/>
      <c r="P251" s="241"/>
      <c r="Q251" s="238"/>
      <c r="R251" s="241"/>
      <c r="S251" s="238"/>
      <c r="T251" s="241"/>
      <c r="U251" s="238"/>
      <c r="V251" s="241"/>
      <c r="W251" s="238"/>
      <c r="X251" s="241"/>
      <c r="Y251" s="238"/>
      <c r="Z251" s="241"/>
      <c r="AA251" s="238"/>
      <c r="AB251" s="241"/>
      <c r="AC251" s="242"/>
      <c r="AD251" s="241"/>
      <c r="AE251" s="238"/>
    </row>
    <row r="252" ht="15.75" customHeight="1">
      <c r="C252" s="266"/>
      <c r="F252" s="96"/>
      <c r="G252" s="96"/>
      <c r="H252" s="241"/>
      <c r="I252" s="238"/>
      <c r="J252" s="241"/>
      <c r="K252" s="239"/>
      <c r="L252" s="242"/>
      <c r="M252" s="96"/>
      <c r="N252" s="241"/>
      <c r="O252" s="238"/>
      <c r="P252" s="241"/>
      <c r="Q252" s="238"/>
      <c r="R252" s="241"/>
      <c r="S252" s="238"/>
      <c r="T252" s="241"/>
      <c r="U252" s="238"/>
      <c r="V252" s="241"/>
      <c r="W252" s="238"/>
      <c r="X252" s="241"/>
      <c r="Y252" s="238"/>
      <c r="Z252" s="241"/>
      <c r="AA252" s="238"/>
      <c r="AB252" s="241"/>
      <c r="AC252" s="242"/>
      <c r="AD252" s="241"/>
      <c r="AE252" s="238"/>
    </row>
    <row r="253" ht="15.75" customHeight="1">
      <c r="C253" s="266"/>
      <c r="F253" s="96"/>
      <c r="G253" s="96"/>
      <c r="H253" s="241"/>
      <c r="I253" s="238"/>
      <c r="J253" s="241"/>
      <c r="K253" s="239"/>
      <c r="L253" s="242"/>
      <c r="M253" s="96"/>
      <c r="N253" s="241"/>
      <c r="O253" s="238"/>
      <c r="P253" s="241"/>
      <c r="Q253" s="238"/>
      <c r="R253" s="241"/>
      <c r="S253" s="238"/>
      <c r="T253" s="241"/>
      <c r="U253" s="238"/>
      <c r="V253" s="241"/>
      <c r="W253" s="238"/>
      <c r="X253" s="241"/>
      <c r="Y253" s="238"/>
      <c r="Z253" s="241"/>
      <c r="AA253" s="238"/>
      <c r="AB253" s="241"/>
      <c r="AC253" s="242"/>
      <c r="AD253" s="241"/>
      <c r="AE253" s="238"/>
    </row>
    <row r="254" ht="15.75" customHeight="1">
      <c r="C254" s="266"/>
      <c r="F254" s="96"/>
      <c r="G254" s="96"/>
      <c r="H254" s="241"/>
      <c r="I254" s="238"/>
      <c r="J254" s="241"/>
      <c r="K254" s="239"/>
      <c r="L254" s="242"/>
      <c r="M254" s="96"/>
      <c r="N254" s="241"/>
      <c r="O254" s="238"/>
      <c r="P254" s="241"/>
      <c r="Q254" s="238"/>
      <c r="R254" s="241"/>
      <c r="S254" s="238"/>
      <c r="T254" s="241"/>
      <c r="U254" s="238"/>
      <c r="V254" s="241"/>
      <c r="W254" s="238"/>
      <c r="X254" s="241"/>
      <c r="Y254" s="238"/>
      <c r="Z254" s="241"/>
      <c r="AA254" s="238"/>
      <c r="AB254" s="241"/>
      <c r="AC254" s="242"/>
      <c r="AD254" s="241"/>
      <c r="AE254" s="238"/>
    </row>
    <row r="255" ht="15.75" customHeight="1">
      <c r="C255" s="266"/>
      <c r="F255" s="96"/>
      <c r="G255" s="96"/>
      <c r="H255" s="241"/>
      <c r="I255" s="238"/>
      <c r="J255" s="241"/>
      <c r="K255" s="239"/>
      <c r="L255" s="242"/>
      <c r="M255" s="96"/>
      <c r="N255" s="241"/>
      <c r="O255" s="238"/>
      <c r="P255" s="241"/>
      <c r="Q255" s="238"/>
      <c r="R255" s="241"/>
      <c r="S255" s="238"/>
      <c r="T255" s="241"/>
      <c r="U255" s="238"/>
      <c r="V255" s="241"/>
      <c r="W255" s="238"/>
      <c r="X255" s="241"/>
      <c r="Y255" s="238"/>
      <c r="Z255" s="241"/>
      <c r="AA255" s="238"/>
      <c r="AB255" s="241"/>
      <c r="AC255" s="242"/>
      <c r="AD255" s="241"/>
      <c r="AE255" s="238"/>
    </row>
    <row r="256" ht="15.75" customHeight="1">
      <c r="C256" s="266"/>
      <c r="F256" s="96"/>
      <c r="G256" s="96"/>
      <c r="H256" s="241"/>
      <c r="I256" s="238"/>
      <c r="J256" s="241"/>
      <c r="K256" s="239"/>
      <c r="L256" s="242"/>
      <c r="M256" s="96"/>
      <c r="N256" s="241"/>
      <c r="O256" s="238"/>
      <c r="P256" s="241"/>
      <c r="Q256" s="238"/>
      <c r="R256" s="241"/>
      <c r="S256" s="238"/>
      <c r="T256" s="241"/>
      <c r="U256" s="238"/>
      <c r="V256" s="241"/>
      <c r="W256" s="238"/>
      <c r="X256" s="241"/>
      <c r="Y256" s="238"/>
      <c r="Z256" s="241"/>
      <c r="AA256" s="238"/>
      <c r="AB256" s="241"/>
      <c r="AC256" s="242"/>
      <c r="AD256" s="241"/>
      <c r="AE256" s="238"/>
    </row>
    <row r="257" ht="15.75" customHeight="1">
      <c r="C257" s="266"/>
      <c r="F257" s="96"/>
      <c r="G257" s="96"/>
      <c r="H257" s="241"/>
      <c r="I257" s="238"/>
      <c r="J257" s="241"/>
      <c r="K257" s="239"/>
      <c r="L257" s="242"/>
      <c r="M257" s="96"/>
      <c r="N257" s="241"/>
      <c r="O257" s="238"/>
      <c r="P257" s="241"/>
      <c r="Q257" s="238"/>
      <c r="R257" s="241"/>
      <c r="S257" s="238"/>
      <c r="T257" s="241"/>
      <c r="U257" s="238"/>
      <c r="V257" s="241"/>
      <c r="W257" s="238"/>
      <c r="X257" s="241"/>
      <c r="Y257" s="238"/>
      <c r="Z257" s="241"/>
      <c r="AA257" s="238"/>
      <c r="AB257" s="241"/>
      <c r="AC257" s="242"/>
      <c r="AD257" s="241"/>
      <c r="AE257" s="238"/>
    </row>
    <row r="258" ht="15.75" customHeight="1">
      <c r="C258" s="266"/>
      <c r="F258" s="96"/>
      <c r="G258" s="96"/>
      <c r="H258" s="241"/>
      <c r="I258" s="238"/>
      <c r="J258" s="241"/>
      <c r="K258" s="239"/>
      <c r="L258" s="242"/>
      <c r="M258" s="96"/>
      <c r="N258" s="241"/>
      <c r="O258" s="238"/>
      <c r="P258" s="241"/>
      <c r="Q258" s="238"/>
      <c r="R258" s="241"/>
      <c r="S258" s="238"/>
      <c r="T258" s="241"/>
      <c r="U258" s="238"/>
      <c r="V258" s="241"/>
      <c r="W258" s="238"/>
      <c r="X258" s="241"/>
      <c r="Y258" s="238"/>
      <c r="Z258" s="241"/>
      <c r="AA258" s="238"/>
      <c r="AB258" s="241"/>
      <c r="AC258" s="242"/>
      <c r="AD258" s="241"/>
      <c r="AE258" s="238"/>
    </row>
    <row r="259" ht="15.75" customHeight="1">
      <c r="C259" s="266"/>
      <c r="F259" s="96"/>
      <c r="G259" s="96"/>
      <c r="H259" s="241"/>
      <c r="I259" s="238"/>
      <c r="J259" s="241"/>
      <c r="K259" s="239"/>
      <c r="L259" s="242"/>
      <c r="M259" s="96"/>
      <c r="N259" s="241"/>
      <c r="O259" s="238"/>
      <c r="P259" s="241"/>
      <c r="Q259" s="238"/>
      <c r="R259" s="241"/>
      <c r="S259" s="238"/>
      <c r="T259" s="241"/>
      <c r="U259" s="238"/>
      <c r="V259" s="241"/>
      <c r="W259" s="238"/>
      <c r="X259" s="241"/>
      <c r="Y259" s="238"/>
      <c r="Z259" s="241"/>
      <c r="AA259" s="238"/>
      <c r="AB259" s="241"/>
      <c r="AC259" s="242"/>
      <c r="AD259" s="241"/>
      <c r="AE259" s="238"/>
    </row>
    <row r="260" ht="15.75" customHeight="1">
      <c r="C260" s="266"/>
      <c r="F260" s="96"/>
      <c r="G260" s="96"/>
      <c r="H260" s="241"/>
      <c r="I260" s="238"/>
      <c r="J260" s="241"/>
      <c r="K260" s="239"/>
      <c r="L260" s="242"/>
      <c r="M260" s="96"/>
      <c r="N260" s="241"/>
      <c r="O260" s="238"/>
      <c r="P260" s="241"/>
      <c r="Q260" s="238"/>
      <c r="R260" s="241"/>
      <c r="S260" s="238"/>
      <c r="T260" s="241"/>
      <c r="U260" s="238"/>
      <c r="V260" s="241"/>
      <c r="W260" s="238"/>
      <c r="X260" s="241"/>
      <c r="Y260" s="238"/>
      <c r="Z260" s="241"/>
      <c r="AA260" s="238"/>
      <c r="AB260" s="241"/>
      <c r="AC260" s="242"/>
      <c r="AD260" s="241"/>
      <c r="AE260" s="238"/>
    </row>
    <row r="261" ht="15.75" customHeight="1">
      <c r="C261" s="266"/>
      <c r="F261" s="96"/>
      <c r="G261" s="96"/>
      <c r="H261" s="241"/>
      <c r="I261" s="238"/>
      <c r="J261" s="241"/>
      <c r="K261" s="239"/>
      <c r="L261" s="242"/>
      <c r="M261" s="96"/>
      <c r="N261" s="241"/>
      <c r="O261" s="238"/>
      <c r="P261" s="241"/>
      <c r="Q261" s="238"/>
      <c r="R261" s="241"/>
      <c r="S261" s="238"/>
      <c r="T261" s="241"/>
      <c r="U261" s="238"/>
      <c r="V261" s="241"/>
      <c r="W261" s="238"/>
      <c r="X261" s="241"/>
      <c r="Y261" s="238"/>
      <c r="Z261" s="241"/>
      <c r="AA261" s="238"/>
      <c r="AB261" s="241"/>
      <c r="AC261" s="242"/>
      <c r="AD261" s="241"/>
      <c r="AE261" s="238"/>
    </row>
    <row r="262" ht="15.75" customHeight="1">
      <c r="C262" s="266"/>
      <c r="F262" s="96"/>
      <c r="G262" s="96"/>
      <c r="H262" s="241"/>
      <c r="I262" s="238"/>
      <c r="J262" s="241"/>
      <c r="K262" s="239"/>
      <c r="L262" s="242"/>
      <c r="M262" s="96"/>
      <c r="N262" s="241"/>
      <c r="O262" s="238"/>
      <c r="P262" s="241"/>
      <c r="Q262" s="238"/>
      <c r="R262" s="241"/>
      <c r="S262" s="238"/>
      <c r="T262" s="241"/>
      <c r="U262" s="238"/>
      <c r="V262" s="241"/>
      <c r="W262" s="238"/>
      <c r="X262" s="241"/>
      <c r="Y262" s="238"/>
      <c r="Z262" s="241"/>
      <c r="AA262" s="238"/>
      <c r="AB262" s="241"/>
      <c r="AC262" s="242"/>
      <c r="AD262" s="241"/>
      <c r="AE262" s="238"/>
    </row>
    <row r="263" ht="15.75" customHeight="1">
      <c r="C263" s="266"/>
      <c r="F263" s="96"/>
      <c r="G263" s="96"/>
      <c r="H263" s="241"/>
      <c r="I263" s="238"/>
      <c r="J263" s="241"/>
      <c r="K263" s="239"/>
      <c r="L263" s="242"/>
      <c r="M263" s="96"/>
      <c r="N263" s="241"/>
      <c r="O263" s="238"/>
      <c r="P263" s="241"/>
      <c r="Q263" s="238"/>
      <c r="R263" s="241"/>
      <c r="S263" s="238"/>
      <c r="T263" s="241"/>
      <c r="U263" s="238"/>
      <c r="V263" s="241"/>
      <c r="W263" s="238"/>
      <c r="X263" s="241"/>
      <c r="Y263" s="238"/>
      <c r="Z263" s="241"/>
      <c r="AA263" s="238"/>
      <c r="AB263" s="241"/>
      <c r="AC263" s="242"/>
      <c r="AD263" s="241"/>
      <c r="AE263" s="238"/>
    </row>
    <row r="264" ht="15.75" customHeight="1">
      <c r="C264" s="266"/>
      <c r="F264" s="96"/>
      <c r="G264" s="96"/>
      <c r="H264" s="241"/>
      <c r="I264" s="238"/>
      <c r="J264" s="241"/>
      <c r="K264" s="239"/>
      <c r="L264" s="242"/>
      <c r="M264" s="96"/>
      <c r="N264" s="241"/>
      <c r="O264" s="238"/>
      <c r="P264" s="241"/>
      <c r="Q264" s="238"/>
      <c r="R264" s="241"/>
      <c r="S264" s="238"/>
      <c r="T264" s="241"/>
      <c r="U264" s="238"/>
      <c r="V264" s="241"/>
      <c r="W264" s="238"/>
      <c r="X264" s="241"/>
      <c r="Y264" s="238"/>
      <c r="Z264" s="241"/>
      <c r="AA264" s="238"/>
      <c r="AB264" s="241"/>
      <c r="AC264" s="242"/>
      <c r="AD264" s="241"/>
      <c r="AE264" s="238"/>
    </row>
    <row r="265" ht="15.75" customHeight="1">
      <c r="C265" s="266"/>
      <c r="F265" s="96"/>
      <c r="G265" s="96"/>
      <c r="H265" s="241"/>
      <c r="I265" s="238"/>
      <c r="J265" s="241"/>
      <c r="K265" s="239"/>
      <c r="L265" s="242"/>
      <c r="M265" s="96"/>
      <c r="N265" s="241"/>
      <c r="O265" s="238"/>
      <c r="P265" s="241"/>
      <c r="Q265" s="238"/>
      <c r="R265" s="241"/>
      <c r="S265" s="238"/>
      <c r="T265" s="241"/>
      <c r="U265" s="238"/>
      <c r="V265" s="241"/>
      <c r="W265" s="238"/>
      <c r="X265" s="241"/>
      <c r="Y265" s="238"/>
      <c r="Z265" s="241"/>
      <c r="AA265" s="238"/>
      <c r="AB265" s="241"/>
      <c r="AC265" s="242"/>
      <c r="AD265" s="241"/>
      <c r="AE265" s="238"/>
    </row>
    <row r="266" ht="15.75" customHeight="1">
      <c r="C266" s="266"/>
      <c r="F266" s="96"/>
      <c r="G266" s="96"/>
      <c r="H266" s="241"/>
      <c r="I266" s="238"/>
      <c r="J266" s="241"/>
      <c r="K266" s="239"/>
      <c r="L266" s="242"/>
      <c r="M266" s="96"/>
      <c r="N266" s="241"/>
      <c r="O266" s="238"/>
      <c r="P266" s="241"/>
      <c r="Q266" s="238"/>
      <c r="R266" s="241"/>
      <c r="S266" s="238"/>
      <c r="T266" s="241"/>
      <c r="U266" s="238"/>
      <c r="V266" s="241"/>
      <c r="W266" s="238"/>
      <c r="X266" s="241"/>
      <c r="Y266" s="238"/>
      <c r="Z266" s="241"/>
      <c r="AA266" s="238"/>
      <c r="AB266" s="241"/>
      <c r="AC266" s="242"/>
      <c r="AD266" s="241"/>
      <c r="AE266" s="238"/>
    </row>
    <row r="267" ht="15.75" customHeight="1">
      <c r="C267" s="266"/>
      <c r="F267" s="96"/>
      <c r="G267" s="96"/>
      <c r="H267" s="241"/>
      <c r="I267" s="238"/>
      <c r="J267" s="241"/>
      <c r="K267" s="239"/>
      <c r="L267" s="242"/>
      <c r="M267" s="96"/>
      <c r="N267" s="241"/>
      <c r="O267" s="238"/>
      <c r="P267" s="241"/>
      <c r="Q267" s="238"/>
      <c r="R267" s="241"/>
      <c r="S267" s="238"/>
      <c r="T267" s="241"/>
      <c r="U267" s="238"/>
      <c r="V267" s="241"/>
      <c r="W267" s="238"/>
      <c r="X267" s="241"/>
      <c r="Y267" s="238"/>
      <c r="Z267" s="241"/>
      <c r="AA267" s="238"/>
      <c r="AB267" s="241"/>
      <c r="AC267" s="242"/>
      <c r="AD267" s="241"/>
      <c r="AE267" s="238"/>
    </row>
    <row r="268" ht="15.75" customHeight="1">
      <c r="C268" s="266"/>
      <c r="F268" s="96"/>
      <c r="G268" s="96"/>
      <c r="H268" s="241"/>
      <c r="I268" s="238"/>
      <c r="J268" s="241"/>
      <c r="K268" s="239"/>
      <c r="L268" s="242"/>
      <c r="M268" s="96"/>
      <c r="N268" s="241"/>
      <c r="O268" s="238"/>
      <c r="P268" s="241"/>
      <c r="Q268" s="238"/>
      <c r="R268" s="241"/>
      <c r="S268" s="238"/>
      <c r="T268" s="241"/>
      <c r="U268" s="238"/>
      <c r="V268" s="241"/>
      <c r="W268" s="238"/>
      <c r="X268" s="241"/>
      <c r="Y268" s="238"/>
      <c r="Z268" s="241"/>
      <c r="AA268" s="238"/>
      <c r="AB268" s="241"/>
      <c r="AC268" s="242"/>
      <c r="AD268" s="241"/>
      <c r="AE268" s="238"/>
    </row>
    <row r="269" ht="15.75" customHeight="1">
      <c r="C269" s="266"/>
      <c r="F269" s="96"/>
      <c r="G269" s="96"/>
      <c r="H269" s="241"/>
      <c r="I269" s="238"/>
      <c r="J269" s="241"/>
      <c r="K269" s="239"/>
      <c r="L269" s="242"/>
      <c r="M269" s="96"/>
      <c r="N269" s="241"/>
      <c r="O269" s="238"/>
      <c r="P269" s="241"/>
      <c r="Q269" s="238"/>
      <c r="R269" s="241"/>
      <c r="S269" s="238"/>
      <c r="T269" s="241"/>
      <c r="U269" s="238"/>
      <c r="V269" s="241"/>
      <c r="W269" s="238"/>
      <c r="X269" s="241"/>
      <c r="Y269" s="238"/>
      <c r="Z269" s="241"/>
      <c r="AA269" s="238"/>
      <c r="AB269" s="241"/>
      <c r="AC269" s="242"/>
      <c r="AD269" s="241"/>
      <c r="AE269" s="238"/>
    </row>
    <row r="270" ht="15.75" customHeight="1">
      <c r="C270" s="266"/>
      <c r="F270" s="96"/>
      <c r="G270" s="96"/>
      <c r="H270" s="241"/>
      <c r="I270" s="238"/>
      <c r="J270" s="241"/>
      <c r="K270" s="239"/>
      <c r="L270" s="242"/>
      <c r="M270" s="96"/>
      <c r="N270" s="241"/>
      <c r="O270" s="238"/>
      <c r="P270" s="241"/>
      <c r="Q270" s="238"/>
      <c r="R270" s="241"/>
      <c r="S270" s="238"/>
      <c r="T270" s="241"/>
      <c r="U270" s="238"/>
      <c r="V270" s="241"/>
      <c r="W270" s="238"/>
      <c r="X270" s="241"/>
      <c r="Y270" s="238"/>
      <c r="Z270" s="241"/>
      <c r="AA270" s="238"/>
      <c r="AB270" s="241"/>
      <c r="AC270" s="242"/>
      <c r="AD270" s="241"/>
      <c r="AE270" s="238"/>
    </row>
    <row r="271" ht="15.75" customHeight="1">
      <c r="C271" s="266"/>
      <c r="F271" s="96"/>
      <c r="G271" s="96"/>
      <c r="H271" s="241"/>
      <c r="I271" s="238"/>
      <c r="J271" s="241"/>
      <c r="K271" s="239"/>
      <c r="L271" s="242"/>
      <c r="M271" s="96"/>
      <c r="N271" s="241"/>
      <c r="O271" s="238"/>
      <c r="P271" s="241"/>
      <c r="Q271" s="238"/>
      <c r="R271" s="241"/>
      <c r="S271" s="238"/>
      <c r="T271" s="241"/>
      <c r="U271" s="238"/>
      <c r="V271" s="241"/>
      <c r="W271" s="238"/>
      <c r="X271" s="241"/>
      <c r="Y271" s="238"/>
      <c r="Z271" s="241"/>
      <c r="AA271" s="238"/>
      <c r="AB271" s="241"/>
      <c r="AC271" s="242"/>
      <c r="AD271" s="241"/>
      <c r="AE271" s="238"/>
    </row>
    <row r="272" ht="15.75" customHeight="1">
      <c r="C272" s="266"/>
      <c r="F272" s="96"/>
      <c r="G272" s="96"/>
      <c r="H272" s="241"/>
      <c r="I272" s="238"/>
      <c r="J272" s="241"/>
      <c r="K272" s="239"/>
      <c r="L272" s="242"/>
      <c r="M272" s="96"/>
      <c r="N272" s="241"/>
      <c r="O272" s="238"/>
      <c r="P272" s="241"/>
      <c r="Q272" s="238"/>
      <c r="R272" s="241"/>
      <c r="S272" s="238"/>
      <c r="T272" s="241"/>
      <c r="U272" s="238"/>
      <c r="V272" s="241"/>
      <c r="W272" s="238"/>
      <c r="X272" s="241"/>
      <c r="Y272" s="238"/>
      <c r="Z272" s="241"/>
      <c r="AA272" s="238"/>
      <c r="AB272" s="241"/>
      <c r="AC272" s="242"/>
      <c r="AD272" s="241"/>
      <c r="AE272" s="238"/>
    </row>
    <row r="273" ht="15.75" customHeight="1">
      <c r="C273" s="266"/>
      <c r="F273" s="96"/>
      <c r="G273" s="96"/>
      <c r="H273" s="241"/>
      <c r="I273" s="238"/>
      <c r="J273" s="241"/>
      <c r="K273" s="239"/>
      <c r="L273" s="242"/>
      <c r="M273" s="96"/>
      <c r="N273" s="241"/>
      <c r="O273" s="238"/>
      <c r="P273" s="241"/>
      <c r="Q273" s="238"/>
      <c r="R273" s="241"/>
      <c r="S273" s="238"/>
      <c r="T273" s="241"/>
      <c r="U273" s="238"/>
      <c r="V273" s="241"/>
      <c r="W273" s="238"/>
      <c r="X273" s="241"/>
      <c r="Y273" s="238"/>
      <c r="Z273" s="241"/>
      <c r="AA273" s="238"/>
      <c r="AB273" s="241"/>
      <c r="AC273" s="242"/>
      <c r="AD273" s="241"/>
      <c r="AE273" s="238"/>
    </row>
    <row r="274" ht="15.75" customHeight="1">
      <c r="C274" s="266"/>
      <c r="F274" s="96"/>
      <c r="G274" s="96"/>
      <c r="H274" s="241"/>
      <c r="I274" s="238"/>
      <c r="J274" s="241"/>
      <c r="K274" s="239"/>
      <c r="L274" s="242"/>
      <c r="M274" s="96"/>
      <c r="N274" s="241"/>
      <c r="O274" s="238"/>
      <c r="P274" s="241"/>
      <c r="Q274" s="238"/>
      <c r="R274" s="241"/>
      <c r="S274" s="238"/>
      <c r="T274" s="241"/>
      <c r="U274" s="238"/>
      <c r="V274" s="241"/>
      <c r="W274" s="238"/>
      <c r="X274" s="241"/>
      <c r="Y274" s="238"/>
      <c r="Z274" s="241"/>
      <c r="AA274" s="238"/>
      <c r="AB274" s="241"/>
      <c r="AC274" s="242"/>
      <c r="AD274" s="241"/>
      <c r="AE274" s="238"/>
    </row>
    <row r="275" ht="15.75" customHeight="1">
      <c r="C275" s="266"/>
      <c r="F275" s="96"/>
      <c r="G275" s="96"/>
      <c r="H275" s="241"/>
      <c r="I275" s="238"/>
      <c r="J275" s="241"/>
      <c r="K275" s="239"/>
      <c r="L275" s="242"/>
      <c r="M275" s="96"/>
      <c r="N275" s="241"/>
      <c r="O275" s="238"/>
      <c r="P275" s="241"/>
      <c r="Q275" s="238"/>
      <c r="R275" s="241"/>
      <c r="S275" s="238"/>
      <c r="T275" s="241"/>
      <c r="U275" s="238"/>
      <c r="V275" s="241"/>
      <c r="W275" s="238"/>
      <c r="X275" s="241"/>
      <c r="Y275" s="238"/>
      <c r="Z275" s="241"/>
      <c r="AA275" s="238"/>
      <c r="AB275" s="241"/>
      <c r="AC275" s="242"/>
      <c r="AD275" s="241"/>
      <c r="AE275" s="238"/>
    </row>
    <row r="276" ht="15.75" customHeight="1">
      <c r="C276" s="266"/>
      <c r="F276" s="96"/>
      <c r="G276" s="96"/>
      <c r="H276" s="241"/>
      <c r="I276" s="238"/>
      <c r="J276" s="241"/>
      <c r="K276" s="239"/>
      <c r="L276" s="242"/>
      <c r="M276" s="96"/>
      <c r="N276" s="241"/>
      <c r="O276" s="238"/>
      <c r="P276" s="241"/>
      <c r="Q276" s="238"/>
      <c r="R276" s="241"/>
      <c r="S276" s="238"/>
      <c r="T276" s="241"/>
      <c r="U276" s="238"/>
      <c r="V276" s="241"/>
      <c r="W276" s="238"/>
      <c r="X276" s="241"/>
      <c r="Y276" s="238"/>
      <c r="Z276" s="241"/>
      <c r="AA276" s="238"/>
      <c r="AB276" s="241"/>
      <c r="AC276" s="242"/>
      <c r="AD276" s="241"/>
      <c r="AE276" s="238"/>
    </row>
    <row r="277" ht="15.75" customHeight="1">
      <c r="C277" s="266"/>
      <c r="F277" s="96"/>
      <c r="G277" s="96"/>
      <c r="H277" s="241"/>
      <c r="I277" s="238"/>
      <c r="J277" s="241"/>
      <c r="K277" s="239"/>
      <c r="L277" s="242"/>
      <c r="M277" s="96"/>
      <c r="N277" s="241"/>
      <c r="O277" s="238"/>
      <c r="P277" s="241"/>
      <c r="Q277" s="238"/>
      <c r="R277" s="241"/>
      <c r="S277" s="238"/>
      <c r="T277" s="241"/>
      <c r="U277" s="238"/>
      <c r="V277" s="241"/>
      <c r="W277" s="238"/>
      <c r="X277" s="241"/>
      <c r="Y277" s="238"/>
      <c r="Z277" s="241"/>
      <c r="AA277" s="238"/>
      <c r="AB277" s="241"/>
      <c r="AC277" s="242"/>
      <c r="AD277" s="241"/>
      <c r="AE277" s="238"/>
    </row>
    <row r="278" ht="15.75" customHeight="1">
      <c r="C278" s="266"/>
      <c r="F278" s="96"/>
      <c r="G278" s="96"/>
      <c r="H278" s="241"/>
      <c r="I278" s="238"/>
      <c r="J278" s="241"/>
      <c r="K278" s="239"/>
      <c r="L278" s="242"/>
      <c r="M278" s="96"/>
      <c r="N278" s="241"/>
      <c r="O278" s="238"/>
      <c r="P278" s="241"/>
      <c r="Q278" s="238"/>
      <c r="R278" s="241"/>
      <c r="S278" s="238"/>
      <c r="T278" s="241"/>
      <c r="U278" s="238"/>
      <c r="V278" s="241"/>
      <c r="W278" s="238"/>
      <c r="X278" s="241"/>
      <c r="Y278" s="238"/>
      <c r="Z278" s="241"/>
      <c r="AA278" s="238"/>
      <c r="AB278" s="241"/>
      <c r="AC278" s="242"/>
      <c r="AD278" s="241"/>
      <c r="AE278" s="238"/>
    </row>
    <row r="279" ht="15.75" customHeight="1">
      <c r="C279" s="266"/>
      <c r="F279" s="96"/>
      <c r="G279" s="96"/>
      <c r="H279" s="241"/>
      <c r="I279" s="238"/>
      <c r="J279" s="241"/>
      <c r="K279" s="239"/>
      <c r="L279" s="242"/>
      <c r="M279" s="96"/>
      <c r="N279" s="241"/>
      <c r="O279" s="238"/>
      <c r="P279" s="241"/>
      <c r="Q279" s="238"/>
      <c r="R279" s="241"/>
      <c r="S279" s="238"/>
      <c r="T279" s="241"/>
      <c r="U279" s="238"/>
      <c r="V279" s="241"/>
      <c r="W279" s="238"/>
      <c r="X279" s="241"/>
      <c r="Y279" s="238"/>
      <c r="Z279" s="241"/>
      <c r="AA279" s="238"/>
      <c r="AB279" s="241"/>
      <c r="AC279" s="242"/>
      <c r="AD279" s="241"/>
      <c r="AE279" s="238"/>
    </row>
    <row r="280" ht="15.75" customHeight="1">
      <c r="C280" s="266"/>
      <c r="F280" s="96"/>
      <c r="G280" s="96"/>
      <c r="H280" s="241"/>
      <c r="I280" s="238"/>
      <c r="J280" s="241"/>
      <c r="K280" s="239"/>
      <c r="L280" s="242"/>
      <c r="M280" s="96"/>
      <c r="N280" s="241"/>
      <c r="O280" s="238"/>
      <c r="P280" s="241"/>
      <c r="Q280" s="238"/>
      <c r="R280" s="241"/>
      <c r="S280" s="238"/>
      <c r="T280" s="241"/>
      <c r="U280" s="238"/>
      <c r="V280" s="241"/>
      <c r="W280" s="238"/>
      <c r="X280" s="241"/>
      <c r="Y280" s="238"/>
      <c r="Z280" s="241"/>
      <c r="AA280" s="238"/>
      <c r="AB280" s="241"/>
      <c r="AC280" s="242"/>
      <c r="AD280" s="241"/>
      <c r="AE280" s="238"/>
    </row>
    <row r="281" ht="15.75" customHeight="1">
      <c r="C281" s="266"/>
      <c r="F281" s="96"/>
      <c r="G281" s="96"/>
      <c r="H281" s="241"/>
      <c r="I281" s="238"/>
      <c r="J281" s="241"/>
      <c r="K281" s="239"/>
      <c r="L281" s="242"/>
      <c r="M281" s="96"/>
      <c r="N281" s="241"/>
      <c r="O281" s="238"/>
      <c r="P281" s="241"/>
      <c r="Q281" s="238"/>
      <c r="R281" s="241"/>
      <c r="S281" s="238"/>
      <c r="T281" s="241"/>
      <c r="U281" s="238"/>
      <c r="V281" s="241"/>
      <c r="W281" s="238"/>
      <c r="X281" s="241"/>
      <c r="Y281" s="238"/>
      <c r="Z281" s="241"/>
      <c r="AA281" s="238"/>
      <c r="AB281" s="241"/>
      <c r="AC281" s="242"/>
      <c r="AD281" s="241"/>
      <c r="AE281" s="238"/>
    </row>
    <row r="282" ht="15.75" customHeight="1">
      <c r="C282" s="266"/>
      <c r="F282" s="96"/>
      <c r="G282" s="96"/>
      <c r="H282" s="241"/>
      <c r="I282" s="238"/>
      <c r="J282" s="241"/>
      <c r="K282" s="239"/>
      <c r="L282" s="242"/>
      <c r="M282" s="96"/>
      <c r="N282" s="241"/>
      <c r="O282" s="238"/>
      <c r="P282" s="241"/>
      <c r="Q282" s="238"/>
      <c r="R282" s="241"/>
      <c r="S282" s="238"/>
      <c r="T282" s="241"/>
      <c r="U282" s="238"/>
      <c r="V282" s="241"/>
      <c r="W282" s="238"/>
      <c r="X282" s="241"/>
      <c r="Y282" s="238"/>
      <c r="Z282" s="241"/>
      <c r="AA282" s="238"/>
      <c r="AB282" s="241"/>
      <c r="AC282" s="242"/>
      <c r="AD282" s="241"/>
      <c r="AE282" s="238"/>
    </row>
    <row r="283" ht="15.75" customHeight="1">
      <c r="C283" s="266"/>
      <c r="F283" s="96"/>
      <c r="G283" s="96"/>
      <c r="H283" s="241"/>
      <c r="I283" s="238"/>
      <c r="J283" s="241"/>
      <c r="K283" s="239"/>
      <c r="L283" s="242"/>
      <c r="M283" s="96"/>
      <c r="N283" s="241"/>
      <c r="O283" s="238"/>
      <c r="P283" s="241"/>
      <c r="Q283" s="238"/>
      <c r="R283" s="241"/>
      <c r="S283" s="238"/>
      <c r="T283" s="241"/>
      <c r="U283" s="238"/>
      <c r="V283" s="241"/>
      <c r="W283" s="238"/>
      <c r="X283" s="241"/>
      <c r="Y283" s="238"/>
      <c r="Z283" s="241"/>
      <c r="AA283" s="238"/>
      <c r="AB283" s="241"/>
      <c r="AC283" s="242"/>
      <c r="AD283" s="241"/>
      <c r="AE283" s="238"/>
    </row>
    <row r="284" ht="15.75" customHeight="1">
      <c r="C284" s="266"/>
      <c r="F284" s="96"/>
      <c r="G284" s="96"/>
      <c r="H284" s="241"/>
      <c r="I284" s="238"/>
      <c r="J284" s="241"/>
      <c r="K284" s="239"/>
      <c r="L284" s="242"/>
      <c r="M284" s="96"/>
      <c r="N284" s="241"/>
      <c r="O284" s="238"/>
      <c r="P284" s="241"/>
      <c r="Q284" s="238"/>
      <c r="R284" s="241"/>
      <c r="S284" s="238"/>
      <c r="T284" s="241"/>
      <c r="U284" s="238"/>
      <c r="V284" s="241"/>
      <c r="W284" s="238"/>
      <c r="X284" s="241"/>
      <c r="Y284" s="238"/>
      <c r="Z284" s="241"/>
      <c r="AA284" s="238"/>
      <c r="AB284" s="241"/>
      <c r="AC284" s="242"/>
      <c r="AD284" s="241"/>
      <c r="AE284" s="238"/>
    </row>
    <row r="285" ht="15.75" customHeight="1">
      <c r="C285" s="266"/>
      <c r="F285" s="96"/>
      <c r="G285" s="96"/>
      <c r="H285" s="241"/>
      <c r="I285" s="238"/>
      <c r="J285" s="241"/>
      <c r="K285" s="239"/>
      <c r="L285" s="242"/>
      <c r="M285" s="96"/>
      <c r="N285" s="241"/>
      <c r="O285" s="238"/>
      <c r="P285" s="241"/>
      <c r="Q285" s="238"/>
      <c r="R285" s="241"/>
      <c r="S285" s="238"/>
      <c r="T285" s="241"/>
      <c r="U285" s="238"/>
      <c r="V285" s="241"/>
      <c r="W285" s="238"/>
      <c r="X285" s="241"/>
      <c r="Y285" s="238"/>
      <c r="Z285" s="241"/>
      <c r="AA285" s="238"/>
      <c r="AB285" s="241"/>
      <c r="AC285" s="242"/>
      <c r="AD285" s="241"/>
      <c r="AE285" s="238"/>
    </row>
    <row r="286" ht="15.75" customHeight="1">
      <c r="C286" s="266"/>
      <c r="F286" s="96"/>
      <c r="G286" s="96"/>
      <c r="H286" s="241"/>
      <c r="I286" s="238"/>
      <c r="J286" s="241"/>
      <c r="K286" s="239"/>
      <c r="L286" s="242"/>
      <c r="M286" s="96"/>
      <c r="N286" s="241"/>
      <c r="O286" s="238"/>
      <c r="P286" s="241"/>
      <c r="Q286" s="238"/>
      <c r="R286" s="241"/>
      <c r="S286" s="238"/>
      <c r="T286" s="241"/>
      <c r="U286" s="238"/>
      <c r="V286" s="241"/>
      <c r="W286" s="238"/>
      <c r="X286" s="241"/>
      <c r="Y286" s="238"/>
      <c r="Z286" s="241"/>
      <c r="AA286" s="238"/>
      <c r="AB286" s="241"/>
      <c r="AC286" s="242"/>
      <c r="AD286" s="241"/>
      <c r="AE286" s="238"/>
    </row>
    <row r="287" ht="15.75" customHeight="1">
      <c r="C287" s="266"/>
      <c r="F287" s="96"/>
      <c r="G287" s="96"/>
      <c r="H287" s="241"/>
      <c r="I287" s="238"/>
      <c r="J287" s="241"/>
      <c r="K287" s="239"/>
      <c r="L287" s="242"/>
      <c r="M287" s="96"/>
      <c r="N287" s="241"/>
      <c r="O287" s="238"/>
      <c r="P287" s="241"/>
      <c r="Q287" s="238"/>
      <c r="R287" s="241"/>
      <c r="S287" s="238"/>
      <c r="T287" s="241"/>
      <c r="U287" s="238"/>
      <c r="V287" s="241"/>
      <c r="W287" s="238"/>
      <c r="X287" s="241"/>
      <c r="Y287" s="238"/>
      <c r="Z287" s="241"/>
      <c r="AA287" s="238"/>
      <c r="AB287" s="241"/>
      <c r="AC287" s="242"/>
      <c r="AD287" s="241"/>
      <c r="AE287" s="238"/>
    </row>
    <row r="288" ht="15.75" customHeight="1">
      <c r="C288" s="266"/>
      <c r="F288" s="96"/>
      <c r="G288" s="96"/>
      <c r="H288" s="241"/>
      <c r="I288" s="238"/>
      <c r="J288" s="241"/>
      <c r="K288" s="239"/>
      <c r="L288" s="242"/>
      <c r="M288" s="96"/>
      <c r="N288" s="241"/>
      <c r="O288" s="238"/>
      <c r="P288" s="241"/>
      <c r="Q288" s="238"/>
      <c r="R288" s="241"/>
      <c r="S288" s="238"/>
      <c r="T288" s="241"/>
      <c r="U288" s="238"/>
      <c r="V288" s="241"/>
      <c r="W288" s="238"/>
      <c r="X288" s="241"/>
      <c r="Y288" s="238"/>
      <c r="Z288" s="241"/>
      <c r="AA288" s="238"/>
      <c r="AB288" s="241"/>
      <c r="AC288" s="242"/>
      <c r="AD288" s="241"/>
      <c r="AE288" s="238"/>
    </row>
    <row r="289" ht="15.75" customHeight="1">
      <c r="C289" s="266"/>
      <c r="F289" s="96"/>
      <c r="G289" s="96"/>
      <c r="H289" s="241"/>
      <c r="I289" s="238"/>
      <c r="J289" s="241"/>
      <c r="K289" s="239"/>
      <c r="L289" s="242"/>
      <c r="M289" s="96"/>
      <c r="N289" s="241"/>
      <c r="O289" s="238"/>
      <c r="P289" s="241"/>
      <c r="Q289" s="238"/>
      <c r="R289" s="241"/>
      <c r="S289" s="238"/>
      <c r="T289" s="241"/>
      <c r="U289" s="238"/>
      <c r="V289" s="241"/>
      <c r="W289" s="238"/>
      <c r="X289" s="241"/>
      <c r="Y289" s="238"/>
      <c r="Z289" s="241"/>
      <c r="AA289" s="238"/>
      <c r="AB289" s="241"/>
      <c r="AC289" s="242"/>
      <c r="AD289" s="241"/>
      <c r="AE289" s="238"/>
    </row>
    <row r="290" ht="15.75" customHeight="1">
      <c r="C290" s="266"/>
      <c r="F290" s="96"/>
      <c r="G290" s="96"/>
      <c r="H290" s="241"/>
      <c r="I290" s="238"/>
      <c r="J290" s="241"/>
      <c r="K290" s="239"/>
      <c r="L290" s="242"/>
      <c r="M290" s="96"/>
      <c r="N290" s="241"/>
      <c r="O290" s="238"/>
      <c r="P290" s="241"/>
      <c r="Q290" s="238"/>
      <c r="R290" s="241"/>
      <c r="S290" s="238"/>
      <c r="T290" s="241"/>
      <c r="U290" s="238"/>
      <c r="V290" s="241"/>
      <c r="W290" s="238"/>
      <c r="X290" s="241"/>
      <c r="Y290" s="238"/>
      <c r="Z290" s="241"/>
      <c r="AA290" s="238"/>
      <c r="AB290" s="241"/>
      <c r="AC290" s="242"/>
      <c r="AD290" s="241"/>
      <c r="AE290" s="238"/>
    </row>
    <row r="291" ht="15.75" customHeight="1">
      <c r="C291" s="266"/>
      <c r="F291" s="96"/>
      <c r="G291" s="96"/>
      <c r="H291" s="241"/>
      <c r="I291" s="238"/>
      <c r="J291" s="241"/>
      <c r="K291" s="239"/>
      <c r="L291" s="242"/>
      <c r="M291" s="96"/>
      <c r="N291" s="241"/>
      <c r="O291" s="238"/>
      <c r="P291" s="241"/>
      <c r="Q291" s="238"/>
      <c r="R291" s="241"/>
      <c r="S291" s="238"/>
      <c r="T291" s="241"/>
      <c r="U291" s="238"/>
      <c r="V291" s="241"/>
      <c r="W291" s="238"/>
      <c r="X291" s="241"/>
      <c r="Y291" s="238"/>
      <c r="Z291" s="241"/>
      <c r="AA291" s="238"/>
      <c r="AB291" s="241"/>
      <c r="AC291" s="242"/>
      <c r="AD291" s="241"/>
      <c r="AE291" s="238"/>
    </row>
    <row r="292" ht="15.75" customHeight="1">
      <c r="C292" s="266"/>
      <c r="F292" s="96"/>
      <c r="G292" s="96"/>
      <c r="H292" s="241"/>
      <c r="I292" s="238"/>
      <c r="J292" s="241"/>
      <c r="K292" s="239"/>
      <c r="L292" s="242"/>
      <c r="M292" s="96"/>
      <c r="N292" s="241"/>
      <c r="O292" s="238"/>
      <c r="P292" s="241"/>
      <c r="Q292" s="238"/>
      <c r="R292" s="241"/>
      <c r="S292" s="238"/>
      <c r="T292" s="241"/>
      <c r="U292" s="238"/>
      <c r="V292" s="241"/>
      <c r="W292" s="238"/>
      <c r="X292" s="241"/>
      <c r="Y292" s="238"/>
      <c r="Z292" s="241"/>
      <c r="AA292" s="238"/>
      <c r="AB292" s="241"/>
      <c r="AC292" s="242"/>
      <c r="AD292" s="241"/>
      <c r="AE292" s="238"/>
    </row>
    <row r="293" ht="15.75" customHeight="1">
      <c r="C293" s="266"/>
      <c r="F293" s="96"/>
      <c r="G293" s="96"/>
      <c r="H293" s="241"/>
      <c r="I293" s="238"/>
      <c r="J293" s="241"/>
      <c r="K293" s="239"/>
      <c r="L293" s="242"/>
      <c r="M293" s="96"/>
      <c r="N293" s="241"/>
      <c r="O293" s="238"/>
      <c r="P293" s="241"/>
      <c r="Q293" s="238"/>
      <c r="R293" s="241"/>
      <c r="S293" s="238"/>
      <c r="T293" s="241"/>
      <c r="U293" s="238"/>
      <c r="V293" s="241"/>
      <c r="W293" s="238"/>
      <c r="X293" s="241"/>
      <c r="Y293" s="238"/>
      <c r="Z293" s="241"/>
      <c r="AA293" s="238"/>
      <c r="AB293" s="241"/>
      <c r="AC293" s="242"/>
      <c r="AD293" s="241"/>
      <c r="AE293" s="238"/>
    </row>
    <row r="294" ht="15.75" customHeight="1">
      <c r="C294" s="266"/>
      <c r="F294" s="96"/>
      <c r="G294" s="96"/>
      <c r="H294" s="241"/>
      <c r="I294" s="238"/>
      <c r="J294" s="241"/>
      <c r="K294" s="239"/>
      <c r="L294" s="242"/>
      <c r="M294" s="96"/>
      <c r="N294" s="241"/>
      <c r="O294" s="238"/>
      <c r="P294" s="241"/>
      <c r="Q294" s="238"/>
      <c r="R294" s="241"/>
      <c r="S294" s="238"/>
      <c r="T294" s="241"/>
      <c r="U294" s="238"/>
      <c r="V294" s="241"/>
      <c r="W294" s="238"/>
      <c r="X294" s="241"/>
      <c r="Y294" s="238"/>
      <c r="Z294" s="241"/>
      <c r="AA294" s="238"/>
      <c r="AB294" s="241"/>
      <c r="AC294" s="242"/>
      <c r="AD294" s="241"/>
      <c r="AE294" s="238"/>
    </row>
    <row r="295" ht="15.75" customHeight="1">
      <c r="C295" s="266"/>
      <c r="F295" s="96"/>
      <c r="G295" s="96"/>
      <c r="H295" s="241"/>
      <c r="I295" s="238"/>
      <c r="J295" s="241"/>
      <c r="K295" s="239"/>
      <c r="L295" s="242"/>
      <c r="M295" s="96"/>
      <c r="N295" s="241"/>
      <c r="O295" s="238"/>
      <c r="P295" s="241"/>
      <c r="Q295" s="238"/>
      <c r="R295" s="241"/>
      <c r="S295" s="238"/>
      <c r="T295" s="241"/>
      <c r="U295" s="238"/>
      <c r="V295" s="241"/>
      <c r="W295" s="238"/>
      <c r="X295" s="241"/>
      <c r="Y295" s="238"/>
      <c r="Z295" s="241"/>
      <c r="AA295" s="238"/>
      <c r="AB295" s="241"/>
      <c r="AC295" s="242"/>
      <c r="AD295" s="241"/>
      <c r="AE295" s="238"/>
    </row>
    <row r="296" ht="15.75" customHeight="1">
      <c r="C296" s="266"/>
      <c r="F296" s="96"/>
      <c r="G296" s="96"/>
      <c r="H296" s="241"/>
      <c r="I296" s="238"/>
      <c r="J296" s="241"/>
      <c r="K296" s="239"/>
      <c r="L296" s="242"/>
      <c r="M296" s="96"/>
      <c r="N296" s="241"/>
      <c r="O296" s="238"/>
      <c r="P296" s="241"/>
      <c r="Q296" s="238"/>
      <c r="R296" s="241"/>
      <c r="S296" s="238"/>
      <c r="T296" s="241"/>
      <c r="U296" s="238"/>
      <c r="V296" s="241"/>
      <c r="W296" s="238"/>
      <c r="X296" s="241"/>
      <c r="Y296" s="238"/>
      <c r="Z296" s="241"/>
      <c r="AA296" s="238"/>
      <c r="AB296" s="241"/>
      <c r="AC296" s="242"/>
      <c r="AD296" s="241"/>
      <c r="AE296" s="238"/>
    </row>
    <row r="297" ht="15.75" customHeight="1">
      <c r="C297" s="266"/>
      <c r="F297" s="96"/>
      <c r="G297" s="96"/>
      <c r="H297" s="241"/>
      <c r="I297" s="238"/>
      <c r="J297" s="241"/>
      <c r="K297" s="239"/>
      <c r="L297" s="242"/>
      <c r="M297" s="96"/>
      <c r="N297" s="241"/>
      <c r="O297" s="238"/>
      <c r="P297" s="241"/>
      <c r="Q297" s="238"/>
      <c r="R297" s="241"/>
      <c r="S297" s="238"/>
      <c r="T297" s="241"/>
      <c r="U297" s="238"/>
      <c r="V297" s="241"/>
      <c r="W297" s="238"/>
      <c r="X297" s="241"/>
      <c r="Y297" s="238"/>
      <c r="Z297" s="241"/>
      <c r="AA297" s="238"/>
      <c r="AB297" s="241"/>
      <c r="AC297" s="242"/>
      <c r="AD297" s="241"/>
      <c r="AE297" s="238"/>
    </row>
    <row r="298" ht="15.75" customHeight="1">
      <c r="C298" s="266"/>
      <c r="F298" s="96"/>
      <c r="G298" s="96"/>
      <c r="H298" s="241"/>
      <c r="I298" s="238"/>
      <c r="J298" s="241"/>
      <c r="K298" s="239"/>
      <c r="L298" s="242"/>
      <c r="M298" s="96"/>
      <c r="N298" s="241"/>
      <c r="O298" s="238"/>
      <c r="P298" s="241"/>
      <c r="Q298" s="238"/>
      <c r="R298" s="241"/>
      <c r="S298" s="238"/>
      <c r="T298" s="241"/>
      <c r="U298" s="238"/>
      <c r="V298" s="241"/>
      <c r="W298" s="238"/>
      <c r="X298" s="241"/>
      <c r="Y298" s="238"/>
      <c r="Z298" s="241"/>
      <c r="AA298" s="238"/>
      <c r="AB298" s="241"/>
      <c r="AC298" s="242"/>
      <c r="AD298" s="241"/>
      <c r="AE298" s="238"/>
    </row>
    <row r="299" ht="15.75" customHeight="1">
      <c r="C299" s="266"/>
      <c r="F299" s="96"/>
      <c r="G299" s="96"/>
      <c r="H299" s="241"/>
      <c r="I299" s="238"/>
      <c r="J299" s="241"/>
      <c r="K299" s="239"/>
      <c r="L299" s="242"/>
      <c r="M299" s="96"/>
      <c r="N299" s="241"/>
      <c r="O299" s="238"/>
      <c r="P299" s="241"/>
      <c r="Q299" s="238"/>
      <c r="R299" s="241"/>
      <c r="S299" s="238"/>
      <c r="T299" s="241"/>
      <c r="U299" s="238"/>
      <c r="V299" s="241"/>
      <c r="W299" s="238"/>
      <c r="X299" s="241"/>
      <c r="Y299" s="238"/>
      <c r="Z299" s="241"/>
      <c r="AA299" s="238"/>
      <c r="AB299" s="241"/>
      <c r="AC299" s="242"/>
      <c r="AD299" s="241"/>
      <c r="AE299" s="238"/>
    </row>
    <row r="300" ht="15.75" customHeight="1">
      <c r="C300" s="266"/>
      <c r="F300" s="96"/>
      <c r="G300" s="96"/>
      <c r="H300" s="241"/>
      <c r="I300" s="238"/>
      <c r="J300" s="241"/>
      <c r="K300" s="239"/>
      <c r="L300" s="242"/>
      <c r="M300" s="96"/>
      <c r="N300" s="241"/>
      <c r="O300" s="238"/>
      <c r="P300" s="241"/>
      <c r="Q300" s="238"/>
      <c r="R300" s="241"/>
      <c r="S300" s="238"/>
      <c r="T300" s="241"/>
      <c r="U300" s="238"/>
      <c r="V300" s="241"/>
      <c r="W300" s="238"/>
      <c r="X300" s="241"/>
      <c r="Y300" s="238"/>
      <c r="Z300" s="241"/>
      <c r="AA300" s="238"/>
      <c r="AB300" s="241"/>
      <c r="AC300" s="242"/>
      <c r="AD300" s="241"/>
      <c r="AE300" s="238"/>
    </row>
    <row r="301" ht="15.75" customHeight="1">
      <c r="C301" s="266"/>
      <c r="F301" s="96"/>
      <c r="G301" s="96"/>
      <c r="H301" s="241"/>
      <c r="I301" s="238"/>
      <c r="J301" s="241"/>
      <c r="K301" s="239"/>
      <c r="L301" s="242"/>
      <c r="M301" s="96"/>
      <c r="N301" s="241"/>
      <c r="O301" s="238"/>
      <c r="P301" s="241"/>
      <c r="Q301" s="238"/>
      <c r="R301" s="241"/>
      <c r="S301" s="238"/>
      <c r="T301" s="241"/>
      <c r="U301" s="238"/>
      <c r="V301" s="241"/>
      <c r="W301" s="238"/>
      <c r="X301" s="241"/>
      <c r="Y301" s="238"/>
      <c r="Z301" s="241"/>
      <c r="AA301" s="238"/>
      <c r="AB301" s="241"/>
      <c r="AC301" s="242"/>
      <c r="AD301" s="241"/>
      <c r="AE301" s="238"/>
    </row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V2:W2"/>
    <mergeCell ref="X2:Y2"/>
    <mergeCell ref="Z2:AA2"/>
    <mergeCell ref="AD2:AE2"/>
    <mergeCell ref="B77:C77"/>
    <mergeCell ref="B78:C78"/>
    <mergeCell ref="B79:C79"/>
    <mergeCell ref="B80:C80"/>
    <mergeCell ref="B81:C81"/>
    <mergeCell ref="B82:C82"/>
    <mergeCell ref="B83:C83"/>
    <mergeCell ref="B84:C84"/>
    <mergeCell ref="H2:I2"/>
    <mergeCell ref="J2:K2"/>
    <mergeCell ref="L2:M2"/>
    <mergeCell ref="N2:O2"/>
    <mergeCell ref="P2:Q2"/>
    <mergeCell ref="R2:S2"/>
    <mergeCell ref="T2:U2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showRuler="1" zoomScale="100" workbookViewId="0">
      <selection activeCell="A1" activeCellId="0" sqref="A1"/>
    </sheetView>
  </sheetViews>
  <sheetFormatPr defaultColWidth="12.630000000000001" defaultRowHeight="15" customHeight="1"/>
  <cols>
    <col customWidth="1" min="1" max="1" width="13.380000000000001"/>
    <col customWidth="1" min="2" max="2" width="8.1300000000000008"/>
    <col customWidth="1" min="3" max="3" width="8.6300000000000008"/>
    <col customWidth="1" min="4" max="4" width="8.5"/>
    <col customWidth="1" min="5" max="5" width="7.1299999999999999"/>
    <col customWidth="1" min="6" max="6" width="6.8799999999999999"/>
    <col customWidth="1" min="7" max="7" width="7.75"/>
    <col customWidth="1" min="8" max="8" width="6.25"/>
    <col customWidth="1" min="9" max="9" width="8"/>
    <col customWidth="1" min="10" max="11" width="7.75"/>
    <col customWidth="1" min="12" max="12" width="7.25"/>
    <col customWidth="1" min="13" max="13" width="7.75"/>
    <col customWidth="1" min="14" max="26" width="11.130000000000001"/>
  </cols>
  <sheetData>
    <row r="1" ht="15.75" customHeight="1">
      <c r="A1" s="156" t="s">
        <v>80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15.75" customHeight="1">
      <c r="A2" s="11" t="s">
        <v>81</v>
      </c>
      <c r="B2" s="11" t="s">
        <v>82</v>
      </c>
      <c r="C2" s="11" t="s">
        <v>83</v>
      </c>
      <c r="D2" s="11" t="s">
        <v>84</v>
      </c>
      <c r="E2" s="11" t="s">
        <v>85</v>
      </c>
      <c r="F2" s="11" t="s">
        <v>86</v>
      </c>
      <c r="G2" s="11" t="s">
        <v>87</v>
      </c>
      <c r="H2" s="11" t="s">
        <v>88</v>
      </c>
      <c r="I2" s="11" t="s">
        <v>89</v>
      </c>
      <c r="J2" s="11" t="s">
        <v>90</v>
      </c>
      <c r="K2" s="11" t="s">
        <v>91</v>
      </c>
      <c r="L2" s="11" t="s">
        <v>92</v>
      </c>
      <c r="M2" s="11" t="s">
        <v>93</v>
      </c>
    </row>
    <row r="3" ht="15.75" customHeight="1">
      <c r="A3" s="156" t="s">
        <v>94</v>
      </c>
      <c r="B3" s="11">
        <v>4</v>
      </c>
      <c r="C3" s="11">
        <v>1</v>
      </c>
      <c r="D3" s="11">
        <v>1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>
        <v>1</v>
      </c>
      <c r="L3" s="11">
        <v>1</v>
      </c>
      <c r="M3" s="11">
        <v>1</v>
      </c>
    </row>
    <row r="4" ht="15.75" customHeight="1">
      <c r="A4" s="156" t="s">
        <v>95</v>
      </c>
      <c r="B4" s="11">
        <v>6</v>
      </c>
      <c r="C4" s="11">
        <v>5</v>
      </c>
      <c r="D4" s="11">
        <v>5</v>
      </c>
      <c r="E4" s="11">
        <v>5</v>
      </c>
      <c r="F4" s="11">
        <v>5</v>
      </c>
      <c r="G4" s="11">
        <v>5</v>
      </c>
      <c r="H4" s="11">
        <v>5</v>
      </c>
      <c r="I4" s="11">
        <v>5</v>
      </c>
      <c r="J4" s="11">
        <v>5</v>
      </c>
      <c r="K4" s="11">
        <v>3</v>
      </c>
      <c r="L4" s="11">
        <v>4</v>
      </c>
      <c r="M4" s="11">
        <v>5</v>
      </c>
    </row>
    <row r="5" ht="15.75" customHeight="1">
      <c r="A5" s="156" t="s">
        <v>96</v>
      </c>
      <c r="B5" s="11">
        <v>7</v>
      </c>
      <c r="C5" s="11">
        <v>6</v>
      </c>
      <c r="D5" s="11">
        <v>7</v>
      </c>
      <c r="E5" s="11">
        <v>6</v>
      </c>
      <c r="F5" s="11">
        <v>6</v>
      </c>
      <c r="G5" s="11">
        <v>4</v>
      </c>
      <c r="H5" s="11">
        <v>4</v>
      </c>
      <c r="I5" s="11">
        <v>3</v>
      </c>
      <c r="J5" s="11">
        <v>3</v>
      </c>
      <c r="K5" s="11">
        <v>3</v>
      </c>
      <c r="L5" s="11">
        <v>3</v>
      </c>
      <c r="M5" s="11">
        <v>3</v>
      </c>
    </row>
    <row r="6" ht="15.75" customHeight="1">
      <c r="A6" s="156" t="s">
        <v>97</v>
      </c>
      <c r="B6" s="11">
        <v>7</v>
      </c>
      <c r="C6" s="11">
        <v>5</v>
      </c>
      <c r="D6" s="11">
        <v>5</v>
      </c>
      <c r="E6" s="11">
        <v>4</v>
      </c>
      <c r="F6" s="11">
        <v>3</v>
      </c>
      <c r="G6" s="11">
        <v>4</v>
      </c>
      <c r="H6" s="11">
        <v>4</v>
      </c>
      <c r="I6" s="11">
        <v>4</v>
      </c>
      <c r="J6" s="11">
        <v>3</v>
      </c>
      <c r="K6" s="11">
        <v>4</v>
      </c>
      <c r="L6" s="11">
        <v>4</v>
      </c>
      <c r="M6" s="11">
        <v>4</v>
      </c>
    </row>
    <row r="7" ht="15.75" customHeight="1">
      <c r="A7" s="156" t="s">
        <v>98</v>
      </c>
      <c r="B7" s="11">
        <v>7</v>
      </c>
      <c r="C7" s="11">
        <v>6</v>
      </c>
      <c r="D7" s="11">
        <v>5</v>
      </c>
      <c r="E7" s="11">
        <v>5</v>
      </c>
      <c r="F7" s="11">
        <v>4</v>
      </c>
      <c r="G7" s="11">
        <v>4</v>
      </c>
      <c r="H7" s="11">
        <v>4</v>
      </c>
      <c r="I7" s="11">
        <v>4</v>
      </c>
      <c r="J7" s="11">
        <v>3</v>
      </c>
      <c r="K7" s="11">
        <v>3</v>
      </c>
      <c r="L7" s="11">
        <v>4</v>
      </c>
      <c r="M7" s="11">
        <v>4</v>
      </c>
    </row>
    <row r="8" ht="15.75" customHeight="1">
      <c r="A8" s="156" t="s">
        <v>99</v>
      </c>
      <c r="B8" s="11">
        <v>7</v>
      </c>
      <c r="C8" s="11">
        <v>7</v>
      </c>
      <c r="D8" s="11">
        <v>7</v>
      </c>
      <c r="E8" s="11">
        <v>6</v>
      </c>
      <c r="F8" s="11">
        <v>6</v>
      </c>
      <c r="G8" s="11">
        <v>6</v>
      </c>
      <c r="H8" s="11">
        <v>6</v>
      </c>
      <c r="I8" s="11">
        <v>6</v>
      </c>
      <c r="J8" s="11">
        <v>4</v>
      </c>
      <c r="K8" s="11">
        <v>5</v>
      </c>
      <c r="L8" s="11">
        <v>6</v>
      </c>
      <c r="M8" s="11">
        <v>6</v>
      </c>
    </row>
    <row r="9" ht="15.75" customHeight="1">
      <c r="A9" s="156" t="s">
        <v>100</v>
      </c>
      <c r="B9" s="11">
        <v>3</v>
      </c>
      <c r="C9" s="11">
        <v>5</v>
      </c>
      <c r="D9" s="11">
        <v>5</v>
      </c>
      <c r="E9" s="11">
        <v>4</v>
      </c>
      <c r="F9" s="11">
        <v>3</v>
      </c>
      <c r="G9" s="11">
        <v>2</v>
      </c>
      <c r="H9" s="11">
        <v>2</v>
      </c>
      <c r="I9" s="11">
        <v>4</v>
      </c>
      <c r="J9" s="11">
        <v>4</v>
      </c>
      <c r="K9" s="11">
        <v>3</v>
      </c>
      <c r="L9" s="11">
        <v>2</v>
      </c>
      <c r="M9" s="11">
        <v>4</v>
      </c>
    </row>
    <row r="10" ht="15.75" customHeight="1">
      <c r="A10" s="268" t="s">
        <v>101</v>
      </c>
      <c r="B10" s="268">
        <v>41</v>
      </c>
      <c r="C10" s="268">
        <v>35</v>
      </c>
      <c r="D10" s="268">
        <v>35</v>
      </c>
      <c r="E10" s="268">
        <v>31</v>
      </c>
      <c r="F10" s="268">
        <v>28</v>
      </c>
      <c r="G10" s="268">
        <v>26</v>
      </c>
      <c r="H10" s="268">
        <v>26</v>
      </c>
      <c r="I10" s="268">
        <v>27</v>
      </c>
      <c r="J10" s="268">
        <v>23</v>
      </c>
      <c r="K10" s="268">
        <v>22</v>
      </c>
      <c r="L10" s="268">
        <v>24</v>
      </c>
      <c r="M10" s="268">
        <v>27</v>
      </c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69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showRuler="1" zoomScale="100" workbookViewId="0">
      <selection activeCell="A1" activeCellId="0" sqref="A1"/>
    </sheetView>
  </sheetViews>
  <sheetFormatPr defaultColWidth="12.630000000000001" defaultRowHeight="15" customHeight="1"/>
  <cols>
    <col customWidth="1" min="1" max="1" width="15.630000000000001"/>
    <col customWidth="1" min="2" max="2" width="13.25"/>
    <col customWidth="1" min="3" max="3" width="19.379999999999999"/>
    <col customWidth="1" min="4" max="4" width="6"/>
    <col customWidth="1" min="5" max="5" width="7.75"/>
    <col customWidth="1" min="6" max="6" width="6.25"/>
    <col customWidth="1" min="7" max="7" width="6.3799999999999999"/>
    <col customWidth="1" min="8" max="8" width="6.25"/>
    <col customWidth="1" min="9" max="9" width="6.5"/>
    <col customWidth="1" min="10" max="10" width="6.25"/>
    <col customWidth="1" min="11" max="11" width="6"/>
    <col customWidth="1" min="12" max="13" width="7"/>
    <col customWidth="1" min="14" max="14" width="6.25"/>
    <col customWidth="1" min="15" max="15" width="6.5"/>
    <col customWidth="1" min="16" max="26" width="11.130000000000001"/>
  </cols>
  <sheetData>
    <row r="1" ht="15.75" customHeight="1">
      <c r="A1" s="156" t="s">
        <v>102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</row>
    <row r="2" ht="15.75" customHeight="1">
      <c r="A2" s="11" t="s">
        <v>81</v>
      </c>
      <c r="B2" s="11" t="s">
        <v>103</v>
      </c>
      <c r="C2" s="11" t="s">
        <v>104</v>
      </c>
      <c r="D2" s="11" t="s">
        <v>82</v>
      </c>
      <c r="E2" s="11" t="s">
        <v>83</v>
      </c>
      <c r="F2" s="11" t="s">
        <v>84</v>
      </c>
      <c r="G2" s="11" t="s">
        <v>85</v>
      </c>
      <c r="H2" s="11" t="s">
        <v>86</v>
      </c>
      <c r="I2" s="11" t="s">
        <v>87</v>
      </c>
      <c r="J2" s="11" t="s">
        <v>88</v>
      </c>
      <c r="K2" s="11" t="s">
        <v>89</v>
      </c>
      <c r="L2" s="11" t="s">
        <v>90</v>
      </c>
      <c r="M2" s="11" t="s">
        <v>91</v>
      </c>
      <c r="N2" s="11" t="s">
        <v>92</v>
      </c>
      <c r="O2" s="11" t="s">
        <v>93</v>
      </c>
    </row>
    <row r="3" ht="15.75" customHeight="1">
      <c r="A3" s="271" t="s">
        <v>94</v>
      </c>
      <c r="B3" s="11" t="s">
        <v>486</v>
      </c>
      <c r="C3" s="11" t="s">
        <v>106</v>
      </c>
      <c r="D3" s="11">
        <v>1</v>
      </c>
      <c r="E3" s="11">
        <v>1</v>
      </c>
      <c r="F3" s="11"/>
      <c r="G3" s="11"/>
      <c r="H3" s="11"/>
      <c r="I3" s="11"/>
      <c r="J3" s="11"/>
      <c r="K3" s="11"/>
      <c r="L3" s="11"/>
      <c r="M3" s="11"/>
      <c r="N3" s="11"/>
      <c r="O3" s="11"/>
    </row>
    <row r="4" ht="15.75" customHeight="1">
      <c r="A4" s="8"/>
      <c r="B4" s="11" t="s">
        <v>487</v>
      </c>
      <c r="C4" s="11"/>
      <c r="D4" s="11">
        <v>0</v>
      </c>
      <c r="E4" s="11">
        <v>0</v>
      </c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15.75" customHeight="1">
      <c r="A5" s="272" t="s">
        <v>97</v>
      </c>
      <c r="B5" s="11" t="s">
        <v>488</v>
      </c>
      <c r="C5" s="11" t="s">
        <v>109</v>
      </c>
      <c r="D5" s="11">
        <v>4</v>
      </c>
      <c r="E5" s="11">
        <v>4</v>
      </c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15.75" customHeight="1">
      <c r="A6" s="8"/>
      <c r="B6" s="11" t="s">
        <v>489</v>
      </c>
      <c r="C6" s="11"/>
      <c r="D6" s="11">
        <v>0</v>
      </c>
      <c r="E6" s="11">
        <v>0</v>
      </c>
      <c r="F6" s="11"/>
      <c r="G6" s="11"/>
      <c r="H6" s="11"/>
      <c r="I6" s="11"/>
      <c r="J6" s="11"/>
      <c r="K6" s="11"/>
      <c r="L6" s="11"/>
      <c r="M6" s="11"/>
      <c r="N6" s="11"/>
      <c r="O6" s="11"/>
    </row>
    <row r="7" ht="15.75" customHeight="1">
      <c r="A7" s="272" t="s">
        <v>95</v>
      </c>
      <c r="B7" s="11" t="s">
        <v>490</v>
      </c>
      <c r="C7" s="11"/>
      <c r="D7" s="11">
        <v>0</v>
      </c>
      <c r="E7" s="11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15.75" customHeight="1">
      <c r="A8" s="168"/>
      <c r="B8" s="11" t="s">
        <v>491</v>
      </c>
      <c r="C8" s="11"/>
      <c r="D8" s="11">
        <v>5</v>
      </c>
      <c r="E8" s="11">
        <v>5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15.75" customHeight="1">
      <c r="A9" s="168"/>
      <c r="B9" s="11" t="s">
        <v>492</v>
      </c>
      <c r="C9" s="11"/>
      <c r="D9" s="11">
        <v>0</v>
      </c>
      <c r="E9" s="11"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15.75" customHeight="1">
      <c r="A10" s="8"/>
      <c r="B10" s="11" t="s">
        <v>493</v>
      </c>
      <c r="C10" s="11"/>
      <c r="D10" s="11">
        <v>0</v>
      </c>
      <c r="E10" s="11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15.75" customHeight="1">
      <c r="A11" s="156" t="s">
        <v>115</v>
      </c>
      <c r="B11" s="11" t="s">
        <v>116</v>
      </c>
      <c r="C11" s="11" t="s">
        <v>117</v>
      </c>
      <c r="D11" s="11">
        <v>0</v>
      </c>
      <c r="E11" s="11"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15.75" customHeight="1">
      <c r="A12" s="156" t="s">
        <v>96</v>
      </c>
      <c r="B12" s="11" t="s">
        <v>118</v>
      </c>
      <c r="C12" s="11" t="s">
        <v>119</v>
      </c>
      <c r="D12" s="11">
        <v>3</v>
      </c>
      <c r="E12" s="11">
        <v>3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15.75" customHeight="1">
      <c r="A13" s="272" t="s">
        <v>98</v>
      </c>
      <c r="B13" s="11" t="s">
        <v>494</v>
      </c>
      <c r="C13" s="11" t="s">
        <v>121</v>
      </c>
      <c r="D13" s="11">
        <v>3</v>
      </c>
      <c r="E13" s="11">
        <v>3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15.75" customHeight="1">
      <c r="A14" s="168"/>
      <c r="B14" s="11" t="s">
        <v>495</v>
      </c>
      <c r="C14" s="11"/>
      <c r="D14" s="11">
        <v>0</v>
      </c>
      <c r="E14" s="11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15.75" customHeight="1">
      <c r="A15" s="168"/>
      <c r="B15" s="11" t="s">
        <v>496</v>
      </c>
      <c r="C15" s="11"/>
      <c r="D15" s="11">
        <v>1</v>
      </c>
      <c r="E15" s="11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15.75" customHeight="1">
      <c r="A16" s="8"/>
      <c r="B16" s="11" t="s">
        <v>497</v>
      </c>
      <c r="C16" s="11"/>
      <c r="D16" s="11">
        <v>1</v>
      </c>
      <c r="E16" s="11">
        <v>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15.75" customHeight="1">
      <c r="A17" s="272" t="s">
        <v>99</v>
      </c>
      <c r="B17" s="11" t="s">
        <v>498</v>
      </c>
      <c r="C17" s="11" t="s">
        <v>126</v>
      </c>
      <c r="D17" s="11">
        <v>3</v>
      </c>
      <c r="E17" s="11">
        <v>3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15.75" customHeight="1">
      <c r="A18" s="168"/>
      <c r="B18" s="11" t="s">
        <v>498</v>
      </c>
      <c r="C18" s="11" t="s">
        <v>127</v>
      </c>
      <c r="D18" s="11">
        <v>2</v>
      </c>
      <c r="E18" s="11">
        <v>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15.75" customHeight="1">
      <c r="A19" s="168"/>
      <c r="B19" s="11" t="s">
        <v>499</v>
      </c>
      <c r="C19" s="11"/>
      <c r="D19" s="11">
        <v>1</v>
      </c>
      <c r="E19" s="11">
        <v>1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15.75" customHeight="1">
      <c r="A20" s="168"/>
      <c r="B20" s="11" t="s">
        <v>500</v>
      </c>
      <c r="C20" s="11"/>
      <c r="D20" s="11">
        <v>0</v>
      </c>
      <c r="E20" s="11"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15.75" customHeight="1">
      <c r="A21" s="8"/>
      <c r="B21" s="11" t="s">
        <v>501</v>
      </c>
      <c r="C21" s="11"/>
      <c r="D21" s="11">
        <v>0</v>
      </c>
      <c r="E21" s="11"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15.75" customHeight="1">
      <c r="A22" s="272" t="s">
        <v>100</v>
      </c>
      <c r="B22" s="11" t="s">
        <v>502</v>
      </c>
      <c r="C22" s="11"/>
      <c r="D22" s="11">
        <v>0</v>
      </c>
      <c r="E22" s="11">
        <v>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15.75" customHeight="1">
      <c r="A23" s="168"/>
      <c r="B23" s="11" t="s">
        <v>503</v>
      </c>
      <c r="C23" s="11"/>
      <c r="D23" s="11">
        <v>0</v>
      </c>
      <c r="E23" s="11"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ht="15.75" customHeight="1">
      <c r="A24" s="168"/>
      <c r="B24" s="11" t="s">
        <v>504</v>
      </c>
      <c r="C24" s="11" t="s">
        <v>134</v>
      </c>
      <c r="D24" s="11">
        <v>4</v>
      </c>
      <c r="E24" s="11">
        <v>3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ht="15.75" customHeight="1">
      <c r="A25" s="8"/>
      <c r="B25" s="11" t="s">
        <v>504</v>
      </c>
      <c r="C25" s="11" t="s">
        <v>135</v>
      </c>
      <c r="D25" s="11">
        <v>0</v>
      </c>
      <c r="E25" s="11">
        <v>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ht="15.75" customHeight="1">
      <c r="A26" s="268" t="s">
        <v>101</v>
      </c>
      <c r="B26" s="273"/>
      <c r="C26" s="273"/>
      <c r="D26" s="268">
        <v>28</v>
      </c>
      <c r="E26" s="268">
        <v>29</v>
      </c>
      <c r="F26" s="268">
        <v>0</v>
      </c>
      <c r="G26" s="268">
        <v>0</v>
      </c>
      <c r="H26" s="268">
        <v>0</v>
      </c>
      <c r="I26" s="268">
        <v>0</v>
      </c>
      <c r="J26" s="268">
        <v>0</v>
      </c>
      <c r="K26" s="268">
        <v>0</v>
      </c>
      <c r="L26" s="268">
        <v>0</v>
      </c>
      <c r="M26" s="268">
        <v>0</v>
      </c>
      <c r="N26" s="268">
        <v>0</v>
      </c>
      <c r="O26" s="268">
        <v>0</v>
      </c>
      <c r="P26" s="274"/>
      <c r="Q26" s="274"/>
      <c r="R26" s="274"/>
      <c r="S26" s="274"/>
      <c r="T26" s="274"/>
      <c r="U26" s="274"/>
      <c r="V26" s="274"/>
      <c r="W26" s="274"/>
      <c r="X26" s="274"/>
      <c r="Y26" s="274"/>
      <c r="Z26" s="274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A4"/>
    <mergeCell ref="A5:A6"/>
    <mergeCell ref="A7:A10"/>
    <mergeCell ref="A13:A16"/>
    <mergeCell ref="A17:A21"/>
    <mergeCell ref="A22:A25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" id="{00750096-0034-4035-AC49-002B00C9005C}">
            <xm:f>LEN(TRIM(D1))&gt;0</xm:f>
            <x14:dxf>
              <font/>
              <fill>
                <patternFill patternType="solid">
                  <fgColor rgb="FFB7E1CD"/>
                  <bgColor rgb="FFB7E1CD"/>
                </patternFill>
              </fill>
              <border>
                <left/>
                <right/>
                <top/>
                <bottom/>
                <diagonal/>
              </border>
            </x14:dxf>
          </x14:cfRule>
          <xm:sqref>D1:P1000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0" summaryRight="0" showOutlineSymbols="1"/>
    <pageSetUpPr autoPageBreaks="1" fitToPage="0"/>
  </sheetPr>
  <sheetViews>
    <sheetView showRuler="1" zoomScale="100" workbookViewId="0">
      <selection activeCell="A1" activeCellId="0" sqref="A1"/>
    </sheetView>
  </sheetViews>
  <sheetFormatPr defaultColWidth="12.630000000000001" defaultRowHeight="15" customHeight="1"/>
  <cols>
    <col customWidth="1" min="1" max="1" width="11.130000000000001"/>
    <col customWidth="1" min="2" max="2" width="17.5"/>
    <col customWidth="1" min="3" max="4" width="13"/>
    <col customWidth="1" min="5" max="26" width="11.130000000000001"/>
  </cols>
  <sheetData>
    <row r="1" ht="15.75" customHeight="1">
      <c r="A1" s="275" t="s">
        <v>368</v>
      </c>
      <c r="B1" s="275" t="s">
        <v>505</v>
      </c>
      <c r="C1" s="276" t="s">
        <v>506</v>
      </c>
      <c r="D1" s="6"/>
      <c r="E1" s="277"/>
    </row>
    <row r="2" ht="15.75" customHeight="1">
      <c r="A2" s="275"/>
      <c r="B2" s="275"/>
      <c r="C2" s="278">
        <v>44470</v>
      </c>
      <c r="D2" s="278">
        <v>44835</v>
      </c>
      <c r="E2" s="277"/>
    </row>
    <row r="3" ht="15.75" customHeight="1">
      <c r="A3" s="11" t="s">
        <v>96</v>
      </c>
      <c r="B3" s="11" t="s">
        <v>507</v>
      </c>
      <c r="C3" s="11">
        <v>7</v>
      </c>
      <c r="D3" s="11">
        <v>3</v>
      </c>
    </row>
    <row r="4" ht="15.75" customHeight="1">
      <c r="A4" s="11" t="s">
        <v>508</v>
      </c>
      <c r="B4" s="11" t="s">
        <v>509</v>
      </c>
      <c r="C4" s="11">
        <v>2</v>
      </c>
      <c r="D4" s="11">
        <v>1</v>
      </c>
    </row>
    <row r="5" ht="15.75" customHeight="1">
      <c r="A5" s="11" t="s">
        <v>510</v>
      </c>
      <c r="B5" s="11" t="s">
        <v>509</v>
      </c>
      <c r="C5" s="11">
        <v>9</v>
      </c>
      <c r="D5" s="11">
        <v>4</v>
      </c>
    </row>
    <row r="6" ht="15.75" customHeight="1">
      <c r="A6" s="11" t="s">
        <v>510</v>
      </c>
      <c r="B6" s="11" t="s">
        <v>511</v>
      </c>
      <c r="C6" s="11">
        <v>1</v>
      </c>
      <c r="D6" s="279" t="s">
        <v>512</v>
      </c>
    </row>
    <row r="7" ht="15.75" customHeight="1">
      <c r="A7" s="11" t="s">
        <v>510</v>
      </c>
      <c r="B7" s="11" t="s">
        <v>513</v>
      </c>
      <c r="C7" s="11">
        <v>1</v>
      </c>
      <c r="D7" s="279" t="s">
        <v>512</v>
      </c>
    </row>
    <row r="8" ht="15.75" customHeight="1">
      <c r="A8" s="11" t="s">
        <v>100</v>
      </c>
      <c r="B8" s="11" t="s">
        <v>137</v>
      </c>
      <c r="C8" s="11">
        <v>5</v>
      </c>
      <c r="D8" s="11">
        <v>3</v>
      </c>
    </row>
    <row r="9" ht="15.75" customHeight="1">
      <c r="A9" s="11" t="s">
        <v>98</v>
      </c>
      <c r="B9" s="11" t="s">
        <v>137</v>
      </c>
      <c r="C9" s="11">
        <v>8</v>
      </c>
      <c r="D9" s="11">
        <v>3</v>
      </c>
    </row>
    <row r="10" ht="15.75" customHeight="1">
      <c r="A10" s="11" t="s">
        <v>98</v>
      </c>
      <c r="B10" s="11" t="s">
        <v>514</v>
      </c>
      <c r="C10" s="11">
        <v>1</v>
      </c>
      <c r="D10" s="279" t="s">
        <v>512</v>
      </c>
    </row>
    <row r="11" ht="15.75" customHeight="1">
      <c r="A11" s="11" t="s">
        <v>95</v>
      </c>
      <c r="B11" s="11" t="s">
        <v>137</v>
      </c>
      <c r="C11" s="11">
        <v>8</v>
      </c>
      <c r="D11" s="11">
        <v>3</v>
      </c>
    </row>
    <row r="12" ht="15.75" customHeight="1">
      <c r="A12" s="11" t="s">
        <v>99</v>
      </c>
      <c r="B12" s="11" t="s">
        <v>137</v>
      </c>
      <c r="C12" s="11">
        <v>4</v>
      </c>
      <c r="D12" s="11">
        <v>4</v>
      </c>
      <c r="E12" s="1" t="s">
        <v>515</v>
      </c>
    </row>
    <row r="13" ht="15.75" customHeight="1">
      <c r="A13" s="11" t="s">
        <v>99</v>
      </c>
      <c r="B13" s="11" t="s">
        <v>516</v>
      </c>
      <c r="C13" s="11">
        <v>1</v>
      </c>
      <c r="D13" s="11">
        <v>1</v>
      </c>
      <c r="E13" s="1" t="s">
        <v>517</v>
      </c>
    </row>
    <row r="14" ht="15.75" customHeight="1">
      <c r="A14" s="11" t="s">
        <v>99</v>
      </c>
      <c r="B14" s="11" t="s">
        <v>518</v>
      </c>
      <c r="C14" s="11">
        <v>1</v>
      </c>
      <c r="D14" s="11">
        <v>0</v>
      </c>
    </row>
    <row r="15" ht="15.75" customHeight="1">
      <c r="A15" s="11" t="s">
        <v>99</v>
      </c>
      <c r="B15" s="11" t="s">
        <v>127</v>
      </c>
      <c r="C15" s="11">
        <v>1</v>
      </c>
      <c r="D15" s="11">
        <v>0</v>
      </c>
    </row>
    <row r="16" ht="15.75" customHeight="1">
      <c r="A16" s="11" t="s">
        <v>99</v>
      </c>
      <c r="B16" s="11" t="s">
        <v>519</v>
      </c>
      <c r="C16" s="11">
        <v>1</v>
      </c>
      <c r="D16" s="11">
        <v>0</v>
      </c>
    </row>
    <row r="17" ht="15.75" customHeight="1">
      <c r="A17" s="11"/>
      <c r="B17" s="11"/>
      <c r="C17" s="11"/>
      <c r="D17" s="11"/>
    </row>
    <row r="18" ht="15.75" customHeight="1">
      <c r="A18" s="11"/>
      <c r="B18" s="11"/>
      <c r="C18" s="11"/>
      <c r="D18" s="11"/>
    </row>
    <row r="19" ht="15.75" customHeight="1">
      <c r="A19" s="114" t="s">
        <v>22</v>
      </c>
      <c r="B19" s="114"/>
      <c r="C19" s="114">
        <f t="shared" ref="C19:D19" si="233">SUM(C3:C18)</f>
        <v>50</v>
      </c>
      <c r="D19" s="114">
        <f t="shared" si="233"/>
        <v>22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1:D1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Маклакова Ольга</dc:creator>
  <cp:lastModifiedBy>Аноним</cp:lastModifiedBy>
  <cp:revision>1</cp:revision>
  <dcterms:created xsi:type="dcterms:W3CDTF">2023-04-03T12:41:56Z</dcterms:created>
  <dcterms:modified xsi:type="dcterms:W3CDTF">2025-08-27T06:40:53Z</dcterms:modified>
</cp:coreProperties>
</file>